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cabdem\Downloads\"/>
    </mc:Choice>
  </mc:AlternateContent>
  <xr:revisionPtr revIDLastSave="0" documentId="8_{A1EC1E41-F157-4BC9-9FC0-65B3E7C0E230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Calculator" sheetId="11" r:id="rId1"/>
    <sheet name="OtherDSG" sheetId="66" r:id="rId2"/>
    <sheet name="Grants" sheetId="49" r:id="rId3"/>
    <sheet name="EY" sheetId="61" r:id="rId4"/>
    <sheet name="Other Adjustments" sheetId="68" r:id="rId5"/>
    <sheet name="HN" sheetId="62" r:id="rId6"/>
    <sheet name="Lookup" sheetId="44" r:id="rId7"/>
    <sheet name="Academy Conversions" sheetId="67" state="hidden" r:id="rId8"/>
  </sheets>
  <definedNames>
    <definedName name="_xlnm._FilterDatabase" localSheetId="3" hidden="1">EY!$A$7:$DN$260</definedName>
    <definedName name="_xlnm._FilterDatabase" localSheetId="2" hidden="1">Grants!$A$6:$FF$255</definedName>
    <definedName name="_xlnm._FilterDatabase" localSheetId="5" hidden="1">HN!$A$7:$S$254</definedName>
    <definedName name="_xlnm._FilterDatabase" localSheetId="6" hidden="1">Lookup!$A$2:$C$256</definedName>
    <definedName name="_xlnm._FilterDatabase" localSheetId="4" hidden="1">'Other Adjustments'!$A$6:$P$263</definedName>
    <definedName name="_xlnm._FilterDatabase" localSheetId="1" hidden="1">OtherDSG!$A$6:$AB$263</definedName>
    <definedName name="aaa">#REF!</definedName>
    <definedName name="abcde">#REF!</definedName>
    <definedName name="Accrualsrevised">#REF!</definedName>
    <definedName name="Adjustment">#REF!</definedName>
    <definedName name="Adjustments_To_1415_SBS">#REF!</definedName>
    <definedName name="Adjustments_To_1516_SBS">#REF!</definedName>
    <definedName name="Adjustments_To_PY_SBS">#REF!</definedName>
    <definedName name="agrclient">#REF!</definedName>
    <definedName name="All_dist_taper">#REF!</definedName>
    <definedName name="All_distance_threshold">#REF!</definedName>
    <definedName name="All_PupilNo_threshold">#REF!</definedName>
    <definedName name="Alt_Gains_Cap">#REF!</definedName>
    <definedName name="anteprevious_year">#REF!</definedName>
    <definedName name="APRIL">#REF!</definedName>
    <definedName name="AUGUST">#REF!</definedName>
    <definedName name="AWPU_KS3_Rate">#REF!</definedName>
    <definedName name="AWPU_KS4_Rate">#REF!</definedName>
    <definedName name="AWPU_Pri_Rate">#REF!</definedName>
    <definedName name="AWPU_Primary_DD_rate">#REF!</definedName>
    <definedName name="AWPU_Sec_DD_rate">#REF!</definedName>
    <definedName name="BalanceSheet">#REF!</definedName>
    <definedName name="BANK">#REF!</definedName>
    <definedName name="BlockTransfersDSGSchoolsBlock">#REF!</definedName>
    <definedName name="BUDGET">#REF!</definedName>
    <definedName name="BUDGET94">#REF!</definedName>
    <definedName name="Capping_Scaling_YesNo">#REF!</definedName>
    <definedName name="Ceiling">#REF!</definedName>
    <definedName name="column">#REF!</definedName>
    <definedName name="CommentaryAdditionalFundingFromHN">#REF!</definedName>
    <definedName name="CommentaryFallingRollsFund">#REF!</definedName>
    <definedName name="CommentaryGrowth">#REF!</definedName>
    <definedName name="CommentaryPFI">#REF!</definedName>
    <definedName name="CostCentre">#REF!</definedName>
    <definedName name="current_year">#REF!</definedName>
    <definedName name="current_year_full">#REF!</definedName>
    <definedName name="CY_MFG_Exclusion_Totals">#REF!</definedName>
    <definedName name="DECEMBER">#REF!</definedName>
    <definedName name="dsource">#REF!</definedName>
    <definedName name="EAL_Pri">#REF!</definedName>
    <definedName name="EAL_Pri_DD_rate">#REF!</definedName>
    <definedName name="EAL_Pri_Option">#REF!</definedName>
    <definedName name="EAL_Sec">#REF!</definedName>
    <definedName name="EAL_Sec_DD_rate">#REF!</definedName>
    <definedName name="EAL_Sec_Option">#REF!</definedName>
    <definedName name="EarlyYears">#REF!</definedName>
    <definedName name="Ever6_Pri_DD_Rate">#REF!</definedName>
    <definedName name="Ever6_pri_rate">#REF!</definedName>
    <definedName name="Ever6_Sec_DD_Rate">#REF!</definedName>
    <definedName name="Ever6_sec_rate">#REF!</definedName>
    <definedName name="Exc_Cir1_Total">#REF!</definedName>
    <definedName name="Exc_Cir2_Total">#REF!</definedName>
    <definedName name="Exc_Cir3_Total">#REF!</definedName>
    <definedName name="Exc_Cir4_Total">#REF!</definedName>
    <definedName name="Exc_Cir5_Total">#REF!</definedName>
    <definedName name="Exc_Cir6_Total">#REF!</definedName>
    <definedName name="Exc_Cir7_Total">#REF!</definedName>
    <definedName name="Excel_BuiltIn__FilterDatabase_3">"['Maintained Schools'.$A$1:.$H$11636]"</definedName>
    <definedName name="Excel_BuiltIn__FilterDatabase_4">"[Academies.$A$1:.$H$6222]"</definedName>
    <definedName name="Excel_BuiltIn__FilterDatabase_5">"[NMSS.$A$1:.$H$56]"</definedName>
    <definedName name="FEBRUARY">#REF!</definedName>
    <definedName name="File_Name">#REF!</definedName>
    <definedName name="File_Type">#REF!</definedName>
    <definedName name="Fringe_multiplier">#REF!</definedName>
    <definedName name="Fringe_Total">#REF!</definedName>
    <definedName name="FSM_Pri_DD_rate">#REF!</definedName>
    <definedName name="FSM_Pri_Option">#REF!</definedName>
    <definedName name="FSM_Pri_Rate">#REF!</definedName>
    <definedName name="FSM_Pri_Rate_2">#REF!</definedName>
    <definedName name="FSM_Sec_DD_rate">#REF!</definedName>
    <definedName name="FSM_Sec_Option">#REF!</definedName>
    <definedName name="FSM_Sec_Rate">#REF!</definedName>
    <definedName name="Funding_Floor">#REF!</definedName>
    <definedName name="Funding_Floor_Adjustment">#REF!</definedName>
    <definedName name="gfd">#REF!</definedName>
    <definedName name="glpage1">#REF!</definedName>
    <definedName name="glpage2">#REF!</definedName>
    <definedName name="glsum">#REF!</definedName>
    <definedName name="growthfunding">#REF!</definedName>
    <definedName name="IA_amalgamation">#REF!</definedName>
    <definedName name="IA_closed_preApril">#REF!</definedName>
    <definedName name="IA_conversion">#REF!</definedName>
    <definedName name="IA_new_free_school">#REF!</definedName>
    <definedName name="IA_NOR_change">#REF!</definedName>
    <definedName name="IA_open_postApril">#REF!</definedName>
    <definedName name="IA_open_preApril">#REF!</definedName>
    <definedName name="IDACI_B1_Pri">#REF!</definedName>
    <definedName name="IDACI_B1_Pri_DD_rate">#REF!</definedName>
    <definedName name="IDACI_B1_Sec">#REF!</definedName>
    <definedName name="IDACI_B1_Sec_DD_rate">#REF!</definedName>
    <definedName name="IDACI_B2_Pri">#REF!</definedName>
    <definedName name="IDACI_B2_Pri_DD_rate">#REF!</definedName>
    <definedName name="IDACI_B2_Sec">#REF!</definedName>
    <definedName name="IDACI_B2_Sec_DD_rate">#REF!</definedName>
    <definedName name="IDACI_B3_Pri">#REF!</definedName>
    <definedName name="IDACI_B3_Pri_DD_rate">#REF!</definedName>
    <definedName name="IDACI_B3_Sec">#REF!</definedName>
    <definedName name="IDACI_B3_Sec_DD_rate">#REF!</definedName>
    <definedName name="IDACI_B4_Pri">#REF!</definedName>
    <definedName name="IDACI_B4_Pri_DD_rate">#REF!</definedName>
    <definedName name="IDACI_B4_Sec">#REF!</definedName>
    <definedName name="IDACI_B4_Sec_DD_rate">#REF!</definedName>
    <definedName name="IDACI_B5_Pri">#REF!</definedName>
    <definedName name="IDACI_B5_Pri_DD_rate">#REF!</definedName>
    <definedName name="IDACI_B5_Sec">#REF!</definedName>
    <definedName name="IDACI_B5_Sec_DD_rate">#REF!</definedName>
    <definedName name="IDACI_B6_Pri">#REF!</definedName>
    <definedName name="IDACI_B6_Pri_DD_rate">#REF!</definedName>
    <definedName name="IDACI_B6_Sec">#REF!</definedName>
    <definedName name="IDACI_B6_Sec_DD_rate">#REF!</definedName>
    <definedName name="INCOME">#REF!</definedName>
    <definedName name="INCOME94">#REF!</definedName>
    <definedName name="JANUARY">#REF!</definedName>
    <definedName name="JULY">#REF!</definedName>
    <definedName name="JUNE">#REF!</definedName>
    <definedName name="LA_Code">#REF!</definedName>
    <definedName name="LA_Name">#REF!</definedName>
    <definedName name="LAC_Pri_DD_rate">#REF!</definedName>
    <definedName name="LAC_Rate">#REF!</definedName>
    <definedName name="LAC_Sec_DD_rate">#REF!</definedName>
    <definedName name="LCHI_Pri">#REF!</definedName>
    <definedName name="LCHI_Pri_DD_rate">#REF!</definedName>
    <definedName name="LCHI_Pri_Option">#REF!</definedName>
    <definedName name="LCHI_Sec">#REF!</definedName>
    <definedName name="LCHI_Sec_DD_rate">#REF!</definedName>
    <definedName name="Lump_sum_Pri_DD_rate">#REF!</definedName>
    <definedName name="Lump_sum_Sec_DD_rate">#REF!</definedName>
    <definedName name="Lump_Sum_total">#REF!</definedName>
    <definedName name="MARCH">#REF!</definedName>
    <definedName name="MAY">#REF!</definedName>
    <definedName name="MFG_Rate">#REF!</definedName>
    <definedName name="MFG_Total">#REF!</definedName>
    <definedName name="Mid_dist_taper">#REF!</definedName>
    <definedName name="Mid_distance_threshold">#REF!</definedName>
    <definedName name="Mid_PupilNo_threshold">#REF!</definedName>
    <definedName name="min_pupil_rate_KS3">#REF!</definedName>
    <definedName name="min_pupil_rate_KS4">#REF!</definedName>
    <definedName name="min_pupil_rate_pri">#REF!</definedName>
    <definedName name="min_pupil_rate_sec">#REF!</definedName>
    <definedName name="Mobility_Pri">#REF!</definedName>
    <definedName name="Mobility_Pri_DD_Rate">#REF!</definedName>
    <definedName name="Mobility_Sec">#REF!</definedName>
    <definedName name="Mobility_Sec_DD_Rate">#REF!</definedName>
    <definedName name="mppf_pri">#REF!</definedName>
    <definedName name="mppf_sec">#REF!</definedName>
    <definedName name="Notional_SEN_AWPU_KS3">#REF!</definedName>
    <definedName name="Notional_SEN_AWPU_KS4">#REF!</definedName>
    <definedName name="Notional_SEN_AWPU_Pri">#REF!</definedName>
    <definedName name="Notional_SEN_EAL_Pri">#REF!</definedName>
    <definedName name="Notional_SEN_EAL_Sec">#REF!</definedName>
    <definedName name="Notional_SEN_Ever6_Pri">#REF!</definedName>
    <definedName name="Notional_SEN_Ever6_Sec">#REF!</definedName>
    <definedName name="Notional_SEN_ExCir2">#REF!</definedName>
    <definedName name="Notional_SEN_ExCir3">#REF!</definedName>
    <definedName name="Notional_SEN_ExCir4">#REF!</definedName>
    <definedName name="Notional_SEN_ExCir5">#REF!</definedName>
    <definedName name="Notional_SEN_ExCir6">#REF!</definedName>
    <definedName name="Notional_SEN_ExCir7">#REF!</definedName>
    <definedName name="Notional_SEN_FF">#REF!</definedName>
    <definedName name="Notional_SEN_FSM_Pri">#REF!</definedName>
    <definedName name="Notional_SEN_FSM_Sec">#REF!</definedName>
    <definedName name="Notional_SEN_IDACI_B1_Pri">#REF!</definedName>
    <definedName name="Notional_SEN_IDACI_B1_Sec">#REF!</definedName>
    <definedName name="Notional_SEN_IDACI_B2_Pri">#REF!</definedName>
    <definedName name="Notional_SEN_IDACI_B2_Sec">#REF!</definedName>
    <definedName name="Notional_SEN_IDACI_B3_Pri">#REF!</definedName>
    <definedName name="Notional_SEN_IDACI_B3_Sec">#REF!</definedName>
    <definedName name="Notional_SEN_IDACI_B4_Pri">#REF!</definedName>
    <definedName name="Notional_SEN_IDACI_B4_Sec">#REF!</definedName>
    <definedName name="Notional_SEN_IDACI_B5_Pri">#REF!</definedName>
    <definedName name="Notional_SEN_IDACI_B5_Sec">#REF!</definedName>
    <definedName name="Notional_SEN_IDACI_B6_Pri">#REF!</definedName>
    <definedName name="Notional_SEN_IDACI_B6_Sec">#REF!</definedName>
    <definedName name="Notional_SEN_LAC">#REF!</definedName>
    <definedName name="Notional_SEN_LCHI_Pri">#REF!</definedName>
    <definedName name="Notional_SEN_LCHI_Sec">#REF!</definedName>
    <definedName name="Notional_SEN_Lump_sum_Pri">#REF!</definedName>
    <definedName name="Notional_SEN_Lump_sum_Sec">#REF!</definedName>
    <definedName name="Notional_SEN_MFG">#REF!</definedName>
    <definedName name="Notional_SEN_Mobility_Pri">#REF!</definedName>
    <definedName name="Notional_SEN_Mobility_Sec">#REF!</definedName>
    <definedName name="Notional_SEN_MPPF">#REF!</definedName>
    <definedName name="Notional_SEN_PFI">#REF!</definedName>
    <definedName name="Notional_SEN_Rates">#REF!</definedName>
    <definedName name="Notional_SEN_SixthForm">#REF!</definedName>
    <definedName name="Notional_SEN_Sparsity_Pri">#REF!</definedName>
    <definedName name="Notional_SEN_Sparsity_Sec">#REF!</definedName>
    <definedName name="Notional_SEN_Split_sites">#REF!</definedName>
    <definedName name="NOVEMBER">#REF!</definedName>
    <definedName name="OCTOBER">#REF!</definedName>
    <definedName name="part">#REF!</definedName>
    <definedName name="PFI_Total">#REF!</definedName>
    <definedName name="previous_year">#REF!</definedName>
    <definedName name="previous_year_full">#REF!</definedName>
    <definedName name="Pri_dist_taper">#REF!</definedName>
    <definedName name="Pri_distance_threshold">#REF!</definedName>
    <definedName name="Pri_PupilNo_threshold">#REF!</definedName>
    <definedName name="Primary_Lump_sum">#REF!</definedName>
    <definedName name="_xlnm.Print_Area" localSheetId="0">Calculator!$A$1:$U$126</definedName>
    <definedName name="ProformaAdditionalFundingFromHN">#REF!</definedName>
    <definedName name="ProformaExceptionalCircumstanceTotals">#REF!</definedName>
    <definedName name="ProformaFallingRollsFund">#REF!</definedName>
    <definedName name="ProformaGrowthFund">#REF!</definedName>
    <definedName name="ProformaHNThreshold">#REF!</definedName>
    <definedName name="PupilPremium">#REF!</definedName>
    <definedName name="PY_MFG_Exclusion_Totals">#REF!</definedName>
    <definedName name="Quarter">#REF!</definedName>
    <definedName name="Rates_Total">#REF!</definedName>
    <definedName name="Reasons_list">#REF!</definedName>
    <definedName name="Reception_Uplift_YesNo">#REF!</definedName>
    <definedName name="revbudg">#REF!</definedName>
    <definedName name="row">#REF!</definedName>
    <definedName name="Scaling_Factor">#REF!</definedName>
    <definedName name="School">#REF!</definedName>
    <definedName name="School_list">#REF!</definedName>
    <definedName name="School_Name">#REF!</definedName>
    <definedName name="Schools">#REF!</definedName>
    <definedName name="Schoolsreference2">#REF!</definedName>
    <definedName name="Sec_dist_taper">#REF!</definedName>
    <definedName name="Sec_distance_threshold">#REF!</definedName>
    <definedName name="Sec_PupilNo_threshold">#REF!</definedName>
    <definedName name="Secondary_Lump_Sum">#REF!</definedName>
    <definedName name="SEPTEMBER">#REF!</definedName>
    <definedName name="Sheet_Name">#REF!</definedName>
    <definedName name="Sixth_Form_Total">#REF!</definedName>
    <definedName name="Sparsity_All_lump_sum">#REF!</definedName>
    <definedName name="Sparsity_Mid_lump_sum">#REF!</definedName>
    <definedName name="Sparsity_Pri_DD_percentage">#REF!</definedName>
    <definedName name="Sparsity_Pri_lump_sum">#REF!</definedName>
    <definedName name="Sparsity_Sec_DD_percentage">#REF!</definedName>
    <definedName name="Sparsity_Sec_lump_sum">#REF!</definedName>
    <definedName name="Sparsity_Total">#REF!</definedName>
    <definedName name="Split_sites_distance_rate">#REF!</definedName>
    <definedName name="Split_sites_lump_sum">#REF!</definedName>
    <definedName name="Split_Sites_Total">#REF!</definedName>
    <definedName name="table">#REF!</definedName>
    <definedName name="Tapered_all_lump_sum">#REF!</definedName>
    <definedName name="Tapered_mid_lump_sum">#REF!</definedName>
    <definedName name="Tapered_primary_lump_sum">#REF!</definedName>
    <definedName name="Tapered_secondary_lump_su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Notional_SEN">#REF!</definedName>
    <definedName name="Total_Primary_funding">#REF!</definedName>
    <definedName name="Total_Secondary_Funding">#REF!</definedName>
    <definedName name="ValidationList1">#REF!</definedName>
    <definedName name="ValidationList2">#REF!</definedName>
    <definedName name="WorkingBudget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1" l="1"/>
  <c r="K265" i="66" l="1"/>
  <c r="L265" i="66"/>
  <c r="M265" i="66"/>
  <c r="N265" i="66"/>
  <c r="O265" i="66"/>
  <c r="P265" i="66"/>
  <c r="E265" i="66"/>
  <c r="F265" i="66"/>
  <c r="G265" i="66"/>
  <c r="H265" i="66"/>
  <c r="I265" i="66"/>
  <c r="J265" i="66"/>
  <c r="AE9" i="62"/>
  <c r="AF9" i="62"/>
  <c r="AE10" i="62"/>
  <c r="AE11" i="62"/>
  <c r="AE12" i="62"/>
  <c r="AF12" i="62"/>
  <c r="AE13" i="62"/>
  <c r="AF13" i="62"/>
  <c r="AE14" i="62"/>
  <c r="AF14" i="62"/>
  <c r="AE15" i="62"/>
  <c r="AF15" i="62"/>
  <c r="AE16" i="62"/>
  <c r="AF16" i="62"/>
  <c r="AE17" i="62"/>
  <c r="AF17" i="62"/>
  <c r="AE18" i="62"/>
  <c r="AF18" i="62"/>
  <c r="AE19" i="62"/>
  <c r="AF19" i="62"/>
  <c r="AE20" i="62"/>
  <c r="AE21" i="62"/>
  <c r="AF21" i="62"/>
  <c r="AE22" i="62"/>
  <c r="AF22" i="62"/>
  <c r="AE23" i="62"/>
  <c r="AE24" i="62"/>
  <c r="AF24" i="62"/>
  <c r="AE25" i="62"/>
  <c r="AE26" i="62"/>
  <c r="AF26" i="62"/>
  <c r="AE27" i="62"/>
  <c r="AE28" i="62"/>
  <c r="AF28" i="62"/>
  <c r="AE29" i="62"/>
  <c r="AF29" i="62"/>
  <c r="AE30" i="62"/>
  <c r="AF30" i="62"/>
  <c r="AE31" i="62"/>
  <c r="AF31" i="62"/>
  <c r="AE32" i="62"/>
  <c r="AF32" i="62"/>
  <c r="AE33" i="62"/>
  <c r="AF33" i="62"/>
  <c r="AE34" i="62"/>
  <c r="AE35" i="62"/>
  <c r="AF35" i="62"/>
  <c r="AE36" i="62"/>
  <c r="AF36" i="62"/>
  <c r="AE37" i="62"/>
  <c r="AF37" i="62"/>
  <c r="AE38" i="62"/>
  <c r="AF38" i="62"/>
  <c r="AE39" i="62"/>
  <c r="AF39" i="62"/>
  <c r="AE40" i="62"/>
  <c r="AF40" i="62"/>
  <c r="AE41" i="62"/>
  <c r="AF41" i="62"/>
  <c r="AE42" i="62"/>
  <c r="AF42" i="62"/>
  <c r="AE43" i="62"/>
  <c r="AF43" i="62"/>
  <c r="AE44" i="62"/>
  <c r="AF44" i="62"/>
  <c r="AE45" i="62"/>
  <c r="AF45" i="62"/>
  <c r="AE46" i="62"/>
  <c r="AF46" i="62"/>
  <c r="AE47" i="62"/>
  <c r="AF47" i="62"/>
  <c r="AE48" i="62"/>
  <c r="AF48" i="62"/>
  <c r="AE49" i="62"/>
  <c r="AF49" i="62"/>
  <c r="AE50" i="62"/>
  <c r="AF50" i="62"/>
  <c r="AE51" i="62"/>
  <c r="AF51" i="62"/>
  <c r="AE52" i="62"/>
  <c r="AF52" i="62"/>
  <c r="AE53" i="62"/>
  <c r="AF53" i="62"/>
  <c r="AE54" i="62"/>
  <c r="AF54" i="62"/>
  <c r="AE55" i="62"/>
  <c r="AF55" i="62"/>
  <c r="AE56" i="62"/>
  <c r="AF56" i="62"/>
  <c r="AE57" i="62"/>
  <c r="AF57" i="62"/>
  <c r="AE58" i="62"/>
  <c r="AF58" i="62"/>
  <c r="AE59" i="62"/>
  <c r="AF59" i="62"/>
  <c r="AE60" i="62"/>
  <c r="AF60" i="62"/>
  <c r="AE61" i="62"/>
  <c r="AF61" i="62"/>
  <c r="AE62" i="62"/>
  <c r="AF62" i="62"/>
  <c r="AE63" i="62"/>
  <c r="AF63" i="62"/>
  <c r="AE64" i="62"/>
  <c r="AF64" i="62"/>
  <c r="AE65" i="62"/>
  <c r="AF65" i="62"/>
  <c r="AE66" i="62"/>
  <c r="AF66" i="62"/>
  <c r="AE67" i="62"/>
  <c r="AF67" i="62"/>
  <c r="AE68" i="62"/>
  <c r="AF68" i="62"/>
  <c r="AE69" i="62"/>
  <c r="AE70" i="62"/>
  <c r="AF70" i="62"/>
  <c r="AE71" i="62"/>
  <c r="AF71" i="62"/>
  <c r="AE72" i="62"/>
  <c r="AF72" i="62"/>
  <c r="AE73" i="62"/>
  <c r="AF73" i="62"/>
  <c r="AE74" i="62"/>
  <c r="AF74" i="62"/>
  <c r="AE75" i="62"/>
  <c r="AF75" i="62"/>
  <c r="AE76" i="62"/>
  <c r="AF76" i="62"/>
  <c r="AE77" i="62"/>
  <c r="AF77" i="62"/>
  <c r="AE78" i="62"/>
  <c r="AF78" i="62"/>
  <c r="AE79" i="62"/>
  <c r="AE80" i="62"/>
  <c r="AF80" i="62"/>
  <c r="AE81" i="62"/>
  <c r="AF81" i="62"/>
  <c r="AE82" i="62"/>
  <c r="AE83" i="62"/>
  <c r="AF83" i="62"/>
  <c r="AE84" i="62"/>
  <c r="AF84" i="62"/>
  <c r="AE85" i="62"/>
  <c r="AE86" i="62"/>
  <c r="AF86" i="62"/>
  <c r="AE87" i="62"/>
  <c r="AF87" i="62"/>
  <c r="AE88" i="62"/>
  <c r="AF88" i="62"/>
  <c r="AE89" i="62"/>
  <c r="AF89" i="62"/>
  <c r="AE90" i="62"/>
  <c r="AF90" i="62"/>
  <c r="AE91" i="62"/>
  <c r="AE92" i="62"/>
  <c r="AF92" i="62"/>
  <c r="AE93" i="62"/>
  <c r="AF93" i="62"/>
  <c r="AE94" i="62"/>
  <c r="AF94" i="62"/>
  <c r="AE95" i="62"/>
  <c r="AF95" i="62"/>
  <c r="AE96" i="62"/>
  <c r="AF96" i="62"/>
  <c r="AE97" i="62"/>
  <c r="AF97" i="62"/>
  <c r="AE98" i="62"/>
  <c r="AE99" i="62"/>
  <c r="AF99" i="62"/>
  <c r="AE100" i="62"/>
  <c r="AF100" i="62"/>
  <c r="AE101" i="62"/>
  <c r="AF101" i="62"/>
  <c r="AE102" i="62"/>
  <c r="AF102" i="62"/>
  <c r="AE103" i="62"/>
  <c r="AF103" i="62"/>
  <c r="AE104" i="62"/>
  <c r="AF104" i="62"/>
  <c r="AE105" i="62"/>
  <c r="AF105" i="62"/>
  <c r="AE106" i="62"/>
  <c r="AF106" i="62"/>
  <c r="AE107" i="62"/>
  <c r="AF107" i="62"/>
  <c r="AE108" i="62"/>
  <c r="AF108" i="62"/>
  <c r="AE109" i="62"/>
  <c r="AF109" i="62"/>
  <c r="AE110" i="62"/>
  <c r="AF110" i="62"/>
  <c r="AE111" i="62"/>
  <c r="AF111" i="62"/>
  <c r="AE112" i="62"/>
  <c r="AF112" i="62"/>
  <c r="AE113" i="62"/>
  <c r="AF113" i="62"/>
  <c r="AE114" i="62"/>
  <c r="AF114" i="62"/>
  <c r="AE115" i="62"/>
  <c r="AF115" i="62"/>
  <c r="AE116" i="62"/>
  <c r="AF116" i="62"/>
  <c r="AE117" i="62"/>
  <c r="AF117" i="62"/>
  <c r="AE118" i="62"/>
  <c r="AF118" i="62"/>
  <c r="AE119" i="62"/>
  <c r="AF119" i="62"/>
  <c r="AE120" i="62"/>
  <c r="AF120" i="62"/>
  <c r="AE121" i="62"/>
  <c r="AF121" i="62"/>
  <c r="AE122" i="62"/>
  <c r="AF122" i="62"/>
  <c r="AE123" i="62"/>
  <c r="AF123" i="62"/>
  <c r="AE124" i="62"/>
  <c r="AF124" i="62"/>
  <c r="AE125" i="62"/>
  <c r="AE126" i="62"/>
  <c r="AF126" i="62"/>
  <c r="AE127" i="62"/>
  <c r="AF127" i="62"/>
  <c r="AE128" i="62"/>
  <c r="AF128" i="62"/>
  <c r="AE129" i="62"/>
  <c r="AF129" i="62"/>
  <c r="AE130" i="62"/>
  <c r="AE131" i="62"/>
  <c r="AF131" i="62"/>
  <c r="AE132" i="62"/>
  <c r="AF132" i="62"/>
  <c r="AE133" i="62"/>
  <c r="AF133" i="62"/>
  <c r="AE134" i="62"/>
  <c r="AF134" i="62"/>
  <c r="AE135" i="62"/>
  <c r="AF135" i="62"/>
  <c r="AE136" i="62"/>
  <c r="AF136" i="62"/>
  <c r="AE137" i="62"/>
  <c r="AF137" i="62"/>
  <c r="AE138" i="62"/>
  <c r="AF138" i="62"/>
  <c r="AE139" i="62"/>
  <c r="AF139" i="62"/>
  <c r="AE140" i="62"/>
  <c r="AF140" i="62"/>
  <c r="AE141" i="62"/>
  <c r="AF141" i="62"/>
  <c r="AE142" i="62"/>
  <c r="AF142" i="62"/>
  <c r="AE143" i="62"/>
  <c r="AF143" i="62"/>
  <c r="AE144" i="62"/>
  <c r="AF144" i="62"/>
  <c r="AE145" i="62"/>
  <c r="AF145" i="62"/>
  <c r="AE146" i="62"/>
  <c r="AF146" i="62"/>
  <c r="AE147" i="62"/>
  <c r="AF147" i="62"/>
  <c r="AE148" i="62"/>
  <c r="AF148" i="62"/>
  <c r="AE149" i="62"/>
  <c r="AF149" i="62"/>
  <c r="AE150" i="62"/>
  <c r="AF150" i="62"/>
  <c r="AE151" i="62"/>
  <c r="AF151" i="62"/>
  <c r="AE152" i="62"/>
  <c r="AF152" i="62"/>
  <c r="AE153" i="62"/>
  <c r="AF153" i="62"/>
  <c r="AE154" i="62"/>
  <c r="AF154" i="62"/>
  <c r="AE155" i="62"/>
  <c r="AF155" i="62"/>
  <c r="AE156" i="62"/>
  <c r="AF156" i="62"/>
  <c r="AE157" i="62"/>
  <c r="AE158" i="62"/>
  <c r="AF158" i="62"/>
  <c r="AE159" i="62"/>
  <c r="AF159" i="62"/>
  <c r="AE160" i="62"/>
  <c r="AF160" i="62"/>
  <c r="AE161" i="62"/>
  <c r="AE162" i="62"/>
  <c r="AE163" i="62"/>
  <c r="AE164" i="62"/>
  <c r="AF164" i="62"/>
  <c r="AE165" i="62"/>
  <c r="AF165" i="62"/>
  <c r="AE166" i="62"/>
  <c r="AF166" i="62"/>
  <c r="AE167" i="62"/>
  <c r="AF167" i="62"/>
  <c r="AE168" i="62"/>
  <c r="AF168" i="62"/>
  <c r="AE169" i="62"/>
  <c r="AF169" i="62"/>
  <c r="AE170" i="62"/>
  <c r="AF170" i="62"/>
  <c r="AE171" i="62"/>
  <c r="AF171" i="62"/>
  <c r="AE172" i="62"/>
  <c r="AE173" i="62"/>
  <c r="AF173" i="62"/>
  <c r="AE174" i="62"/>
  <c r="AF174" i="62"/>
  <c r="AE175" i="62"/>
  <c r="AE176" i="62"/>
  <c r="AF176" i="62"/>
  <c r="AE177" i="62"/>
  <c r="AF177" i="62"/>
  <c r="AE178" i="62"/>
  <c r="AF178" i="62"/>
  <c r="AE179" i="62"/>
  <c r="AF179" i="62"/>
  <c r="AE180" i="62"/>
  <c r="AF180" i="62"/>
  <c r="AE181" i="62"/>
  <c r="AF181" i="62"/>
  <c r="AE182" i="62"/>
  <c r="AF182" i="62"/>
  <c r="AE183" i="62"/>
  <c r="AF183" i="62"/>
  <c r="AE184" i="62"/>
  <c r="AF184" i="62"/>
  <c r="AE185" i="62"/>
  <c r="AF185" i="62"/>
  <c r="AE186" i="62"/>
  <c r="AF186" i="62"/>
  <c r="AE187" i="62"/>
  <c r="AF187" i="62"/>
  <c r="AE188" i="62"/>
  <c r="AF188" i="62"/>
  <c r="AE189" i="62"/>
  <c r="AF189" i="62"/>
  <c r="AE190" i="62"/>
  <c r="AF190" i="62"/>
  <c r="AE191" i="62"/>
  <c r="AF191" i="62"/>
  <c r="AE192" i="62"/>
  <c r="AF192" i="62"/>
  <c r="AE193" i="62"/>
  <c r="AF193" i="62"/>
  <c r="AE194" i="62"/>
  <c r="AF194" i="62"/>
  <c r="AE195" i="62"/>
  <c r="AF195" i="62"/>
  <c r="AE196" i="62"/>
  <c r="AF196" i="62"/>
  <c r="AE197" i="62"/>
  <c r="AF197" i="62"/>
  <c r="AE198" i="62"/>
  <c r="AF198" i="62"/>
  <c r="AE199" i="62"/>
  <c r="AF199" i="62"/>
  <c r="AE200" i="62"/>
  <c r="AF200" i="62"/>
  <c r="AE201" i="62"/>
  <c r="AF201" i="62"/>
  <c r="AE202" i="62"/>
  <c r="AF202" i="62"/>
  <c r="AE203" i="62"/>
  <c r="AF203" i="62"/>
  <c r="AE204" i="62"/>
  <c r="AF204" i="62"/>
  <c r="AE205" i="62"/>
  <c r="AF205" i="62"/>
  <c r="AE206" i="62"/>
  <c r="AF206" i="62"/>
  <c r="AE207" i="62"/>
  <c r="AF207" i="62"/>
  <c r="AE208" i="62"/>
  <c r="AF208" i="62"/>
  <c r="AE209" i="62"/>
  <c r="AF209" i="62"/>
  <c r="AE210" i="62"/>
  <c r="AE211" i="62"/>
  <c r="AF211" i="62"/>
  <c r="AE212" i="62"/>
  <c r="AF212" i="62"/>
  <c r="AE213" i="62"/>
  <c r="AF213" i="62"/>
  <c r="AE214" i="62"/>
  <c r="AE215" i="62"/>
  <c r="AF215" i="62"/>
  <c r="AE216" i="62"/>
  <c r="AF216" i="62"/>
  <c r="AE217" i="62"/>
  <c r="AF217" i="62"/>
  <c r="AE218" i="62"/>
  <c r="AF218" i="62"/>
  <c r="AE219" i="62"/>
  <c r="AF219" i="62"/>
  <c r="AE220" i="62"/>
  <c r="AF220" i="62"/>
  <c r="AE221" i="62"/>
  <c r="AE222" i="62"/>
  <c r="AF222" i="62"/>
  <c r="AE223" i="62"/>
  <c r="AF223" i="62"/>
  <c r="AE224" i="62"/>
  <c r="AF224" i="62"/>
  <c r="AE225" i="62"/>
  <c r="AF225" i="62"/>
  <c r="AE226" i="62"/>
  <c r="AF226" i="62"/>
  <c r="AE227" i="62"/>
  <c r="AF227" i="62"/>
  <c r="AE228" i="62"/>
  <c r="AF228" i="62"/>
  <c r="AE229" i="62"/>
  <c r="AF229" i="62"/>
  <c r="AE230" i="62"/>
  <c r="AF230" i="62"/>
  <c r="AE231" i="62"/>
  <c r="AF231" i="62"/>
  <c r="AE232" i="62"/>
  <c r="AF232" i="62"/>
  <c r="AE233" i="62"/>
  <c r="AE234" i="62"/>
  <c r="AF234" i="62"/>
  <c r="AE235" i="62"/>
  <c r="AF235" i="62"/>
  <c r="AE236" i="62"/>
  <c r="AF236" i="62"/>
  <c r="AE237" i="62"/>
  <c r="AE238" i="62"/>
  <c r="AF238" i="62"/>
  <c r="AE239" i="62"/>
  <c r="AF239" i="62"/>
  <c r="AE240" i="62"/>
  <c r="AF240" i="62"/>
  <c r="AE241" i="62"/>
  <c r="AF241" i="62"/>
  <c r="AE242" i="62"/>
  <c r="AF242" i="62"/>
  <c r="AE243" i="62"/>
  <c r="AF243" i="62"/>
  <c r="AE244" i="62"/>
  <c r="AF244" i="62"/>
  <c r="AE245" i="62"/>
  <c r="AF245" i="62"/>
  <c r="AE246" i="62"/>
  <c r="AF246" i="62"/>
  <c r="AE247" i="62"/>
  <c r="AF247" i="62"/>
  <c r="AE248" i="62"/>
  <c r="AE249" i="62"/>
  <c r="AF249" i="62"/>
  <c r="AE250" i="62"/>
  <c r="AE251" i="62"/>
  <c r="AF251" i="62"/>
  <c r="AE252" i="62"/>
  <c r="AF252" i="62"/>
  <c r="AE253" i="62"/>
  <c r="AF253" i="62"/>
  <c r="AE254" i="62"/>
  <c r="AF254" i="62"/>
  <c r="AF8" i="62"/>
  <c r="AE8" i="62"/>
  <c r="AF125" i="62"/>
  <c r="AF161" i="62"/>
  <c r="AF214" i="62"/>
  <c r="AF221" i="62"/>
  <c r="AF233" i="62"/>
  <c r="AF248" i="62"/>
  <c r="AF175" i="62" l="1"/>
  <c r="AF79" i="62"/>
  <c r="AF23" i="62"/>
  <c r="AF237" i="62"/>
  <c r="AF157" i="62"/>
  <c r="AF85" i="62"/>
  <c r="AF69" i="62"/>
  <c r="AF172" i="62"/>
  <c r="AF20" i="62"/>
  <c r="AF163" i="62"/>
  <c r="AF91" i="62"/>
  <c r="AF27" i="62"/>
  <c r="AF11" i="62"/>
  <c r="AF250" i="62"/>
  <c r="AF210" i="62"/>
  <c r="AF162" i="62"/>
  <c r="AF130" i="62"/>
  <c r="AF98" i="62"/>
  <c r="AF82" i="62"/>
  <c r="AF34" i="62"/>
  <c r="AF25" i="62"/>
  <c r="AC256" i="62" l="1"/>
  <c r="AF10" i="62"/>
  <c r="W256" i="62" l="1"/>
  <c r="X256" i="62"/>
  <c r="Y256" i="62"/>
  <c r="Z256" i="62"/>
  <c r="AA256" i="62"/>
  <c r="AB256" i="62" l="1"/>
  <c r="Z152" i="62"/>
  <c r="Y152" i="62"/>
  <c r="X152" i="62"/>
  <c r="V256" i="62" l="1"/>
  <c r="E41" i="68" l="1"/>
  <c r="AL264" i="61"/>
  <c r="AL131" i="61" l="1"/>
  <c r="AM254" i="61" l="1"/>
  <c r="AL254" i="61"/>
  <c r="X264" i="61" l="1"/>
  <c r="Y264" i="61"/>
  <c r="Z264" i="61"/>
  <c r="AA264" i="61"/>
  <c r="AB264" i="61"/>
  <c r="AC264" i="61"/>
  <c r="AG264" i="61"/>
  <c r="AH264" i="61"/>
  <c r="AI264" i="61"/>
  <c r="AL256" i="61"/>
  <c r="AM256" i="61"/>
  <c r="AL257" i="61"/>
  <c r="AM257" i="61"/>
  <c r="AL258" i="61"/>
  <c r="AM258" i="61"/>
  <c r="AL259" i="61"/>
  <c r="AM259" i="61"/>
  <c r="AL260" i="61"/>
  <c r="AM260" i="61"/>
  <c r="AM255" i="61"/>
  <c r="AL255" i="61"/>
  <c r="AK255" i="61"/>
  <c r="O264" i="61"/>
  <c r="P264" i="61"/>
  <c r="Q264" i="61"/>
  <c r="R264" i="61"/>
  <c r="S264" i="61"/>
  <c r="T264" i="61"/>
  <c r="AE254" i="61"/>
  <c r="AE255" i="61"/>
  <c r="AE256" i="61"/>
  <c r="AE257" i="61"/>
  <c r="AE258" i="61"/>
  <c r="AE259" i="61"/>
  <c r="AE260" i="61"/>
  <c r="V254" i="61"/>
  <c r="V255" i="61"/>
  <c r="V256" i="61"/>
  <c r="V257" i="61"/>
  <c r="V258" i="61"/>
  <c r="V259" i="61"/>
  <c r="V260" i="61"/>
  <c r="BG254" i="61"/>
  <c r="BH254" i="61"/>
  <c r="BI254" i="61"/>
  <c r="BJ254" i="61"/>
  <c r="BK254" i="61"/>
  <c r="BL254" i="61"/>
  <c r="BM254" i="61"/>
  <c r="BG255" i="61"/>
  <c r="BH255" i="61"/>
  <c r="BI255" i="61"/>
  <c r="BJ255" i="61"/>
  <c r="BK255" i="61"/>
  <c r="BL255" i="61"/>
  <c r="BM255" i="61"/>
  <c r="BG9" i="61"/>
  <c r="BH9" i="61"/>
  <c r="BI9" i="61"/>
  <c r="BJ9" i="61"/>
  <c r="BK9" i="61"/>
  <c r="BL9" i="61"/>
  <c r="BM9" i="61"/>
  <c r="BG10" i="61"/>
  <c r="BH10" i="61"/>
  <c r="BI10" i="61"/>
  <c r="BJ10" i="61"/>
  <c r="BK10" i="61"/>
  <c r="BL10" i="61"/>
  <c r="BM10" i="61"/>
  <c r="BG11" i="61"/>
  <c r="BH11" i="61"/>
  <c r="BI11" i="61"/>
  <c r="BJ11" i="61"/>
  <c r="BK11" i="61"/>
  <c r="BL11" i="61"/>
  <c r="BM11" i="61"/>
  <c r="BG12" i="61"/>
  <c r="BH12" i="61"/>
  <c r="BI12" i="61"/>
  <c r="BJ12" i="61"/>
  <c r="BK12" i="61"/>
  <c r="BL12" i="61"/>
  <c r="BM12" i="61"/>
  <c r="BG13" i="61"/>
  <c r="BH13" i="61"/>
  <c r="BI13" i="61"/>
  <c r="BJ13" i="61"/>
  <c r="BK13" i="61"/>
  <c r="BL13" i="61"/>
  <c r="BM13" i="61"/>
  <c r="BG14" i="61"/>
  <c r="BH14" i="61"/>
  <c r="BI14" i="61"/>
  <c r="BJ14" i="61"/>
  <c r="BK14" i="61"/>
  <c r="BL14" i="61"/>
  <c r="BM14" i="61"/>
  <c r="BG15" i="61"/>
  <c r="BH15" i="61"/>
  <c r="BI15" i="61"/>
  <c r="BJ15" i="61"/>
  <c r="BK15" i="61"/>
  <c r="BL15" i="61"/>
  <c r="BM15" i="61"/>
  <c r="BG16" i="61"/>
  <c r="BH16" i="61"/>
  <c r="BI16" i="61"/>
  <c r="BJ16" i="61"/>
  <c r="BK16" i="61"/>
  <c r="BL16" i="61"/>
  <c r="BM16" i="61"/>
  <c r="BG17" i="61"/>
  <c r="BH17" i="61"/>
  <c r="BI17" i="61"/>
  <c r="BJ17" i="61"/>
  <c r="BK17" i="61"/>
  <c r="BL17" i="61"/>
  <c r="BM17" i="61"/>
  <c r="BG18" i="61"/>
  <c r="BH18" i="61"/>
  <c r="BI18" i="61"/>
  <c r="BJ18" i="61"/>
  <c r="BK18" i="61"/>
  <c r="BL18" i="61"/>
  <c r="BM18" i="61"/>
  <c r="BG19" i="61"/>
  <c r="BH19" i="61"/>
  <c r="BI19" i="61"/>
  <c r="BJ19" i="61"/>
  <c r="BK19" i="61"/>
  <c r="BL19" i="61"/>
  <c r="BM19" i="61"/>
  <c r="BG20" i="61"/>
  <c r="BH20" i="61"/>
  <c r="BI20" i="61"/>
  <c r="BJ20" i="61"/>
  <c r="BK20" i="61"/>
  <c r="BL20" i="61"/>
  <c r="BM20" i="61"/>
  <c r="BG21" i="61"/>
  <c r="BH21" i="61"/>
  <c r="BI21" i="61"/>
  <c r="BJ21" i="61"/>
  <c r="BK21" i="61"/>
  <c r="BL21" i="61"/>
  <c r="BM21" i="61"/>
  <c r="BG22" i="61"/>
  <c r="BH22" i="61"/>
  <c r="BI22" i="61"/>
  <c r="BJ22" i="61"/>
  <c r="BK22" i="61"/>
  <c r="BL22" i="61"/>
  <c r="BM22" i="61"/>
  <c r="BG23" i="61"/>
  <c r="BH23" i="61"/>
  <c r="BI23" i="61"/>
  <c r="BJ23" i="61"/>
  <c r="BK23" i="61"/>
  <c r="BL23" i="61"/>
  <c r="BM23" i="61"/>
  <c r="BG24" i="61"/>
  <c r="BH24" i="61"/>
  <c r="BI24" i="61"/>
  <c r="BJ24" i="61"/>
  <c r="BK24" i="61"/>
  <c r="BL24" i="61"/>
  <c r="BM24" i="61"/>
  <c r="BG25" i="61"/>
  <c r="BH25" i="61"/>
  <c r="BI25" i="61"/>
  <c r="BJ25" i="61"/>
  <c r="BK25" i="61"/>
  <c r="BL25" i="61"/>
  <c r="BM25" i="61"/>
  <c r="BG26" i="61"/>
  <c r="BH26" i="61"/>
  <c r="BI26" i="61"/>
  <c r="BJ26" i="61"/>
  <c r="BK26" i="61"/>
  <c r="BL26" i="61"/>
  <c r="BM26" i="61"/>
  <c r="BG27" i="61"/>
  <c r="BH27" i="61"/>
  <c r="BI27" i="61"/>
  <c r="BJ27" i="61"/>
  <c r="BK27" i="61"/>
  <c r="BL27" i="61"/>
  <c r="BM27" i="61"/>
  <c r="BG28" i="61"/>
  <c r="BH28" i="61"/>
  <c r="BI28" i="61"/>
  <c r="BJ28" i="61"/>
  <c r="BK28" i="61"/>
  <c r="BL28" i="61"/>
  <c r="BM28" i="61"/>
  <c r="BG29" i="61"/>
  <c r="BH29" i="61"/>
  <c r="BI29" i="61"/>
  <c r="BJ29" i="61"/>
  <c r="BK29" i="61"/>
  <c r="BL29" i="61"/>
  <c r="BM29" i="61"/>
  <c r="BG30" i="61"/>
  <c r="BH30" i="61"/>
  <c r="BI30" i="61"/>
  <c r="BJ30" i="61"/>
  <c r="BK30" i="61"/>
  <c r="BL30" i="61"/>
  <c r="BM30" i="61"/>
  <c r="BG31" i="61"/>
  <c r="BH31" i="61"/>
  <c r="BI31" i="61"/>
  <c r="BJ31" i="61"/>
  <c r="BK31" i="61"/>
  <c r="BL31" i="61"/>
  <c r="BM31" i="61"/>
  <c r="BG32" i="61"/>
  <c r="BH32" i="61"/>
  <c r="BI32" i="61"/>
  <c r="BJ32" i="61"/>
  <c r="BK32" i="61"/>
  <c r="BL32" i="61"/>
  <c r="BM32" i="61"/>
  <c r="BG33" i="61"/>
  <c r="BH33" i="61"/>
  <c r="BI33" i="61"/>
  <c r="BJ33" i="61"/>
  <c r="BK33" i="61"/>
  <c r="BL33" i="61"/>
  <c r="BM33" i="61"/>
  <c r="BG34" i="61"/>
  <c r="BH34" i="61"/>
  <c r="BI34" i="61"/>
  <c r="BJ34" i="61"/>
  <c r="BK34" i="61"/>
  <c r="BL34" i="61"/>
  <c r="BM34" i="61"/>
  <c r="BG35" i="61"/>
  <c r="BH35" i="61"/>
  <c r="BI35" i="61"/>
  <c r="BJ35" i="61"/>
  <c r="BK35" i="61"/>
  <c r="BL35" i="61"/>
  <c r="BM35" i="61"/>
  <c r="BG36" i="61"/>
  <c r="BH36" i="61"/>
  <c r="BI36" i="61"/>
  <c r="BJ36" i="61"/>
  <c r="BK36" i="61"/>
  <c r="BL36" i="61"/>
  <c r="BM36" i="61"/>
  <c r="BG37" i="61"/>
  <c r="BH37" i="61"/>
  <c r="BI37" i="61"/>
  <c r="BJ37" i="61"/>
  <c r="BK37" i="61"/>
  <c r="BL37" i="61"/>
  <c r="BM37" i="61"/>
  <c r="BG38" i="61"/>
  <c r="BH38" i="61"/>
  <c r="BI38" i="61"/>
  <c r="BJ38" i="61"/>
  <c r="BK38" i="61"/>
  <c r="BL38" i="61"/>
  <c r="BM38" i="61"/>
  <c r="BG39" i="61"/>
  <c r="BH39" i="61"/>
  <c r="BI39" i="61"/>
  <c r="BJ39" i="61"/>
  <c r="BK39" i="61"/>
  <c r="BL39" i="61"/>
  <c r="BM39" i="61"/>
  <c r="BG40" i="61"/>
  <c r="BH40" i="61"/>
  <c r="BI40" i="61"/>
  <c r="BJ40" i="61"/>
  <c r="BK40" i="61"/>
  <c r="BL40" i="61"/>
  <c r="BM40" i="61"/>
  <c r="BG41" i="61"/>
  <c r="BH41" i="61"/>
  <c r="BI41" i="61"/>
  <c r="BJ41" i="61"/>
  <c r="BK41" i="61"/>
  <c r="BL41" i="61"/>
  <c r="BM41" i="61"/>
  <c r="BG42" i="61"/>
  <c r="BH42" i="61"/>
  <c r="BI42" i="61"/>
  <c r="BJ42" i="61"/>
  <c r="BK42" i="61"/>
  <c r="BL42" i="61"/>
  <c r="BM42" i="61"/>
  <c r="BG43" i="61"/>
  <c r="BH43" i="61"/>
  <c r="BI43" i="61"/>
  <c r="BJ43" i="61"/>
  <c r="BK43" i="61"/>
  <c r="BL43" i="61"/>
  <c r="BM43" i="61"/>
  <c r="BG44" i="61"/>
  <c r="BH44" i="61"/>
  <c r="BI44" i="61"/>
  <c r="BJ44" i="61"/>
  <c r="BK44" i="61"/>
  <c r="BL44" i="61"/>
  <c r="BM44" i="61"/>
  <c r="BG45" i="61"/>
  <c r="BH45" i="61"/>
  <c r="BI45" i="61"/>
  <c r="BJ45" i="61"/>
  <c r="BK45" i="61"/>
  <c r="BL45" i="61"/>
  <c r="BM45" i="61"/>
  <c r="BG46" i="61"/>
  <c r="BH46" i="61"/>
  <c r="BI46" i="61"/>
  <c r="BJ46" i="61"/>
  <c r="BK46" i="61"/>
  <c r="BL46" i="61"/>
  <c r="BM46" i="61"/>
  <c r="BG47" i="61"/>
  <c r="BH47" i="61"/>
  <c r="BI47" i="61"/>
  <c r="BJ47" i="61"/>
  <c r="BK47" i="61"/>
  <c r="BL47" i="61"/>
  <c r="BM47" i="61"/>
  <c r="BG48" i="61"/>
  <c r="BH48" i="61"/>
  <c r="BI48" i="61"/>
  <c r="BJ48" i="61"/>
  <c r="BK48" i="61"/>
  <c r="BL48" i="61"/>
  <c r="BM48" i="61"/>
  <c r="BG49" i="61"/>
  <c r="BH49" i="61"/>
  <c r="BI49" i="61"/>
  <c r="BJ49" i="61"/>
  <c r="BK49" i="61"/>
  <c r="BL49" i="61"/>
  <c r="BM49" i="61"/>
  <c r="BG50" i="61"/>
  <c r="BH50" i="61"/>
  <c r="BI50" i="61"/>
  <c r="BJ50" i="61"/>
  <c r="BK50" i="61"/>
  <c r="BL50" i="61"/>
  <c r="BM50" i="61"/>
  <c r="BG51" i="61"/>
  <c r="BH51" i="61"/>
  <c r="BI51" i="61"/>
  <c r="BJ51" i="61"/>
  <c r="BK51" i="61"/>
  <c r="BL51" i="61"/>
  <c r="BM51" i="61"/>
  <c r="BG52" i="61"/>
  <c r="BH52" i="61"/>
  <c r="BI52" i="61"/>
  <c r="BJ52" i="61"/>
  <c r="BK52" i="61"/>
  <c r="BL52" i="61"/>
  <c r="BM52" i="61"/>
  <c r="BG53" i="61"/>
  <c r="BH53" i="61"/>
  <c r="BI53" i="61"/>
  <c r="BJ53" i="61"/>
  <c r="BK53" i="61"/>
  <c r="BL53" i="61"/>
  <c r="BM53" i="61"/>
  <c r="BG54" i="61"/>
  <c r="BH54" i="61"/>
  <c r="BI54" i="61"/>
  <c r="BJ54" i="61"/>
  <c r="BK54" i="61"/>
  <c r="BL54" i="61"/>
  <c r="BM54" i="61"/>
  <c r="BG55" i="61"/>
  <c r="BH55" i="61"/>
  <c r="BI55" i="61"/>
  <c r="BJ55" i="61"/>
  <c r="BK55" i="61"/>
  <c r="BL55" i="61"/>
  <c r="BM55" i="61"/>
  <c r="BG56" i="61"/>
  <c r="BH56" i="61"/>
  <c r="BI56" i="61"/>
  <c r="BJ56" i="61"/>
  <c r="BK56" i="61"/>
  <c r="BL56" i="61"/>
  <c r="BM56" i="61"/>
  <c r="BG57" i="61"/>
  <c r="BH57" i="61"/>
  <c r="BI57" i="61"/>
  <c r="BJ57" i="61"/>
  <c r="BK57" i="61"/>
  <c r="BL57" i="61"/>
  <c r="BM57" i="61"/>
  <c r="BG58" i="61"/>
  <c r="BH58" i="61"/>
  <c r="BI58" i="61"/>
  <c r="BJ58" i="61"/>
  <c r="BK58" i="61"/>
  <c r="BL58" i="61"/>
  <c r="BM58" i="61"/>
  <c r="BG59" i="61"/>
  <c r="BH59" i="61"/>
  <c r="BI59" i="61"/>
  <c r="BJ59" i="61"/>
  <c r="BK59" i="61"/>
  <c r="BL59" i="61"/>
  <c r="BM59" i="61"/>
  <c r="BG60" i="61"/>
  <c r="BH60" i="61"/>
  <c r="BI60" i="61"/>
  <c r="BJ60" i="61"/>
  <c r="BK60" i="61"/>
  <c r="BL60" i="61"/>
  <c r="BM60" i="61"/>
  <c r="BG61" i="61"/>
  <c r="BH61" i="61"/>
  <c r="BI61" i="61"/>
  <c r="BJ61" i="61"/>
  <c r="BK61" i="61"/>
  <c r="BL61" i="61"/>
  <c r="BM61" i="61"/>
  <c r="BG62" i="61"/>
  <c r="BH62" i="61"/>
  <c r="BI62" i="61"/>
  <c r="BJ62" i="61"/>
  <c r="BK62" i="61"/>
  <c r="BL62" i="61"/>
  <c r="BM62" i="61"/>
  <c r="BG63" i="61"/>
  <c r="BH63" i="61"/>
  <c r="BI63" i="61"/>
  <c r="BJ63" i="61"/>
  <c r="BK63" i="61"/>
  <c r="BL63" i="61"/>
  <c r="BM63" i="61"/>
  <c r="BG64" i="61"/>
  <c r="BH64" i="61"/>
  <c r="BI64" i="61"/>
  <c r="BJ64" i="61"/>
  <c r="BK64" i="61"/>
  <c r="BL64" i="61"/>
  <c r="BM64" i="61"/>
  <c r="BG65" i="61"/>
  <c r="BH65" i="61"/>
  <c r="BI65" i="61"/>
  <c r="BJ65" i="61"/>
  <c r="BK65" i="61"/>
  <c r="BL65" i="61"/>
  <c r="BM65" i="61"/>
  <c r="BG66" i="61"/>
  <c r="BH66" i="61"/>
  <c r="BI66" i="61"/>
  <c r="BJ66" i="61"/>
  <c r="BK66" i="61"/>
  <c r="BL66" i="61"/>
  <c r="BM66" i="61"/>
  <c r="BG67" i="61"/>
  <c r="BH67" i="61"/>
  <c r="BI67" i="61"/>
  <c r="BJ67" i="61"/>
  <c r="BK67" i="61"/>
  <c r="BL67" i="61"/>
  <c r="BM67" i="61"/>
  <c r="BG68" i="61"/>
  <c r="BH68" i="61"/>
  <c r="BI68" i="61"/>
  <c r="BJ68" i="61"/>
  <c r="BK68" i="61"/>
  <c r="BL68" i="61"/>
  <c r="BM68" i="61"/>
  <c r="BG69" i="61"/>
  <c r="BH69" i="61"/>
  <c r="BI69" i="61"/>
  <c r="BJ69" i="61"/>
  <c r="BK69" i="61"/>
  <c r="BL69" i="61"/>
  <c r="BM69" i="61"/>
  <c r="BG70" i="61"/>
  <c r="BH70" i="61"/>
  <c r="BI70" i="61"/>
  <c r="BJ70" i="61"/>
  <c r="BK70" i="61"/>
  <c r="BL70" i="61"/>
  <c r="BM70" i="61"/>
  <c r="BG71" i="61"/>
  <c r="BH71" i="61"/>
  <c r="BI71" i="61"/>
  <c r="BJ71" i="61"/>
  <c r="BK71" i="61"/>
  <c r="BL71" i="61"/>
  <c r="BM71" i="61"/>
  <c r="BG72" i="61"/>
  <c r="BH72" i="61"/>
  <c r="BI72" i="61"/>
  <c r="BJ72" i="61"/>
  <c r="BK72" i="61"/>
  <c r="BL72" i="61"/>
  <c r="BM72" i="61"/>
  <c r="BG73" i="61"/>
  <c r="BH73" i="61"/>
  <c r="BI73" i="61"/>
  <c r="BJ73" i="61"/>
  <c r="BK73" i="61"/>
  <c r="BL73" i="61"/>
  <c r="BM73" i="61"/>
  <c r="BG74" i="61"/>
  <c r="BH74" i="61"/>
  <c r="BI74" i="61"/>
  <c r="BJ74" i="61"/>
  <c r="BK74" i="61"/>
  <c r="BL74" i="61"/>
  <c r="BM74" i="61"/>
  <c r="BG75" i="61"/>
  <c r="BH75" i="61"/>
  <c r="BI75" i="61"/>
  <c r="BJ75" i="61"/>
  <c r="BK75" i="61"/>
  <c r="BL75" i="61"/>
  <c r="BM75" i="61"/>
  <c r="BG76" i="61"/>
  <c r="BH76" i="61"/>
  <c r="BI76" i="61"/>
  <c r="BJ76" i="61"/>
  <c r="BK76" i="61"/>
  <c r="BL76" i="61"/>
  <c r="BM76" i="61"/>
  <c r="BG77" i="61"/>
  <c r="BH77" i="61"/>
  <c r="BI77" i="61"/>
  <c r="BJ77" i="61"/>
  <c r="BK77" i="61"/>
  <c r="BL77" i="61"/>
  <c r="BM77" i="61"/>
  <c r="BG78" i="61"/>
  <c r="BH78" i="61"/>
  <c r="BI78" i="61"/>
  <c r="BJ78" i="61"/>
  <c r="BK78" i="61"/>
  <c r="BL78" i="61"/>
  <c r="BM78" i="61"/>
  <c r="BG79" i="61"/>
  <c r="BH79" i="61"/>
  <c r="BI79" i="61"/>
  <c r="BJ79" i="61"/>
  <c r="BK79" i="61"/>
  <c r="BL79" i="61"/>
  <c r="BM79" i="61"/>
  <c r="BG80" i="61"/>
  <c r="BH80" i="61"/>
  <c r="BI80" i="61"/>
  <c r="BJ80" i="61"/>
  <c r="BK80" i="61"/>
  <c r="BL80" i="61"/>
  <c r="BM80" i="61"/>
  <c r="BG81" i="61"/>
  <c r="BH81" i="61"/>
  <c r="BI81" i="61"/>
  <c r="BJ81" i="61"/>
  <c r="BK81" i="61"/>
  <c r="BL81" i="61"/>
  <c r="BM81" i="61"/>
  <c r="BG82" i="61"/>
  <c r="BH82" i="61"/>
  <c r="BI82" i="61"/>
  <c r="BJ82" i="61"/>
  <c r="BK82" i="61"/>
  <c r="BL82" i="61"/>
  <c r="BM82" i="61"/>
  <c r="BG83" i="61"/>
  <c r="BH83" i="61"/>
  <c r="BI83" i="61"/>
  <c r="BJ83" i="61"/>
  <c r="BK83" i="61"/>
  <c r="BL83" i="61"/>
  <c r="BM83" i="61"/>
  <c r="BG84" i="61"/>
  <c r="BH84" i="61"/>
  <c r="BI84" i="61"/>
  <c r="BJ84" i="61"/>
  <c r="BK84" i="61"/>
  <c r="BL84" i="61"/>
  <c r="BM84" i="61"/>
  <c r="BG85" i="61"/>
  <c r="BH85" i="61"/>
  <c r="BI85" i="61"/>
  <c r="BJ85" i="61"/>
  <c r="BK85" i="61"/>
  <c r="BL85" i="61"/>
  <c r="BM85" i="61"/>
  <c r="BG86" i="61"/>
  <c r="BH86" i="61"/>
  <c r="BI86" i="61"/>
  <c r="BJ86" i="61"/>
  <c r="BK86" i="61"/>
  <c r="BL86" i="61"/>
  <c r="BM86" i="61"/>
  <c r="BG87" i="61"/>
  <c r="BH87" i="61"/>
  <c r="BI87" i="61"/>
  <c r="BJ87" i="61"/>
  <c r="BK87" i="61"/>
  <c r="BL87" i="61"/>
  <c r="BM87" i="61"/>
  <c r="BG88" i="61"/>
  <c r="BH88" i="61"/>
  <c r="BI88" i="61"/>
  <c r="BJ88" i="61"/>
  <c r="BK88" i="61"/>
  <c r="BL88" i="61"/>
  <c r="BM88" i="61"/>
  <c r="BG89" i="61"/>
  <c r="BH89" i="61"/>
  <c r="BI89" i="61"/>
  <c r="BJ89" i="61"/>
  <c r="BK89" i="61"/>
  <c r="BL89" i="61"/>
  <c r="BM89" i="61"/>
  <c r="BG90" i="61"/>
  <c r="BH90" i="61"/>
  <c r="BI90" i="61"/>
  <c r="BJ90" i="61"/>
  <c r="BK90" i="61"/>
  <c r="BL90" i="61"/>
  <c r="BM90" i="61"/>
  <c r="BG91" i="61"/>
  <c r="BH91" i="61"/>
  <c r="BI91" i="61"/>
  <c r="BJ91" i="61"/>
  <c r="BK91" i="61"/>
  <c r="BL91" i="61"/>
  <c r="BM91" i="61"/>
  <c r="BG92" i="61"/>
  <c r="BH92" i="61"/>
  <c r="BI92" i="61"/>
  <c r="BJ92" i="61"/>
  <c r="BK92" i="61"/>
  <c r="BL92" i="61"/>
  <c r="BM92" i="61"/>
  <c r="BG93" i="61"/>
  <c r="BH93" i="61"/>
  <c r="BI93" i="61"/>
  <c r="BJ93" i="61"/>
  <c r="BK93" i="61"/>
  <c r="BL93" i="61"/>
  <c r="BM93" i="61"/>
  <c r="BG94" i="61"/>
  <c r="BH94" i="61"/>
  <c r="BI94" i="61"/>
  <c r="BJ94" i="61"/>
  <c r="BK94" i="61"/>
  <c r="BL94" i="61"/>
  <c r="BM94" i="61"/>
  <c r="BG95" i="61"/>
  <c r="BH95" i="61"/>
  <c r="BI95" i="61"/>
  <c r="BJ95" i="61"/>
  <c r="BK95" i="61"/>
  <c r="BL95" i="61"/>
  <c r="BM95" i="61"/>
  <c r="BG96" i="61"/>
  <c r="BH96" i="61"/>
  <c r="BI96" i="61"/>
  <c r="BJ96" i="61"/>
  <c r="BK96" i="61"/>
  <c r="BL96" i="61"/>
  <c r="BM96" i="61"/>
  <c r="BG97" i="61"/>
  <c r="BH97" i="61"/>
  <c r="BI97" i="61"/>
  <c r="BJ97" i="61"/>
  <c r="BK97" i="61"/>
  <c r="BL97" i="61"/>
  <c r="BM97" i="61"/>
  <c r="BG98" i="61"/>
  <c r="BH98" i="61"/>
  <c r="BI98" i="61"/>
  <c r="BJ98" i="61"/>
  <c r="BK98" i="61"/>
  <c r="BL98" i="61"/>
  <c r="BM98" i="61"/>
  <c r="BG99" i="61"/>
  <c r="BH99" i="61"/>
  <c r="BI99" i="61"/>
  <c r="BJ99" i="61"/>
  <c r="BK99" i="61"/>
  <c r="BL99" i="61"/>
  <c r="BM99" i="61"/>
  <c r="BG100" i="61"/>
  <c r="BH100" i="61"/>
  <c r="BI100" i="61"/>
  <c r="BJ100" i="61"/>
  <c r="BK100" i="61"/>
  <c r="BL100" i="61"/>
  <c r="BM100" i="61"/>
  <c r="BG101" i="61"/>
  <c r="BH101" i="61"/>
  <c r="BI101" i="61"/>
  <c r="BJ101" i="61"/>
  <c r="BK101" i="61"/>
  <c r="BL101" i="61"/>
  <c r="BM101" i="61"/>
  <c r="BG102" i="61"/>
  <c r="BH102" i="61"/>
  <c r="BI102" i="61"/>
  <c r="BJ102" i="61"/>
  <c r="BK102" i="61"/>
  <c r="BL102" i="61"/>
  <c r="BM102" i="61"/>
  <c r="BG103" i="61"/>
  <c r="BH103" i="61"/>
  <c r="BI103" i="61"/>
  <c r="BJ103" i="61"/>
  <c r="BK103" i="61"/>
  <c r="BL103" i="61"/>
  <c r="BM103" i="61"/>
  <c r="BG104" i="61"/>
  <c r="BH104" i="61"/>
  <c r="BI104" i="61"/>
  <c r="BJ104" i="61"/>
  <c r="BK104" i="61"/>
  <c r="BL104" i="61"/>
  <c r="BM104" i="61"/>
  <c r="BG105" i="61"/>
  <c r="BH105" i="61"/>
  <c r="BI105" i="61"/>
  <c r="BJ105" i="61"/>
  <c r="BK105" i="61"/>
  <c r="BL105" i="61"/>
  <c r="BM105" i="61"/>
  <c r="BG106" i="61"/>
  <c r="BH106" i="61"/>
  <c r="BI106" i="61"/>
  <c r="BJ106" i="61"/>
  <c r="BK106" i="61"/>
  <c r="BL106" i="61"/>
  <c r="BM106" i="61"/>
  <c r="BG107" i="61"/>
  <c r="BH107" i="61"/>
  <c r="BI107" i="61"/>
  <c r="BJ107" i="61"/>
  <c r="BK107" i="61"/>
  <c r="BL107" i="61"/>
  <c r="BM107" i="61"/>
  <c r="BG108" i="61"/>
  <c r="BH108" i="61"/>
  <c r="BI108" i="61"/>
  <c r="BJ108" i="61"/>
  <c r="BK108" i="61"/>
  <c r="BL108" i="61"/>
  <c r="BM108" i="61"/>
  <c r="BG109" i="61"/>
  <c r="BH109" i="61"/>
  <c r="BI109" i="61"/>
  <c r="BJ109" i="61"/>
  <c r="BK109" i="61"/>
  <c r="BL109" i="61"/>
  <c r="BM109" i="61"/>
  <c r="BG110" i="61"/>
  <c r="BH110" i="61"/>
  <c r="BI110" i="61"/>
  <c r="BJ110" i="61"/>
  <c r="BK110" i="61"/>
  <c r="BL110" i="61"/>
  <c r="BM110" i="61"/>
  <c r="BG111" i="61"/>
  <c r="BH111" i="61"/>
  <c r="BI111" i="61"/>
  <c r="BJ111" i="61"/>
  <c r="BK111" i="61"/>
  <c r="BL111" i="61"/>
  <c r="BM111" i="61"/>
  <c r="BG112" i="61"/>
  <c r="BH112" i="61"/>
  <c r="BI112" i="61"/>
  <c r="BJ112" i="61"/>
  <c r="BK112" i="61"/>
  <c r="BL112" i="61"/>
  <c r="BM112" i="61"/>
  <c r="BG113" i="61"/>
  <c r="BH113" i="61"/>
  <c r="BI113" i="61"/>
  <c r="BJ113" i="61"/>
  <c r="BK113" i="61"/>
  <c r="BL113" i="61"/>
  <c r="BM113" i="61"/>
  <c r="BG114" i="61"/>
  <c r="BH114" i="61"/>
  <c r="BI114" i="61"/>
  <c r="BJ114" i="61"/>
  <c r="BK114" i="61"/>
  <c r="BL114" i="61"/>
  <c r="BM114" i="61"/>
  <c r="BG115" i="61"/>
  <c r="BH115" i="61"/>
  <c r="BI115" i="61"/>
  <c r="BJ115" i="61"/>
  <c r="BK115" i="61"/>
  <c r="BL115" i="61"/>
  <c r="BM115" i="61"/>
  <c r="BG116" i="61"/>
  <c r="BH116" i="61"/>
  <c r="BI116" i="61"/>
  <c r="BJ116" i="61"/>
  <c r="BK116" i="61"/>
  <c r="BL116" i="61"/>
  <c r="BM116" i="61"/>
  <c r="BG117" i="61"/>
  <c r="BH117" i="61"/>
  <c r="BI117" i="61"/>
  <c r="BJ117" i="61"/>
  <c r="BK117" i="61"/>
  <c r="BL117" i="61"/>
  <c r="BM117" i="61"/>
  <c r="BG118" i="61"/>
  <c r="BH118" i="61"/>
  <c r="BI118" i="61"/>
  <c r="BJ118" i="61"/>
  <c r="BK118" i="61"/>
  <c r="BL118" i="61"/>
  <c r="BM118" i="61"/>
  <c r="BG119" i="61"/>
  <c r="BH119" i="61"/>
  <c r="BI119" i="61"/>
  <c r="BJ119" i="61"/>
  <c r="BK119" i="61"/>
  <c r="BL119" i="61"/>
  <c r="BM119" i="61"/>
  <c r="BG120" i="61"/>
  <c r="BH120" i="61"/>
  <c r="BI120" i="61"/>
  <c r="BJ120" i="61"/>
  <c r="BK120" i="61"/>
  <c r="BL120" i="61"/>
  <c r="BM120" i="61"/>
  <c r="BG121" i="61"/>
  <c r="BH121" i="61"/>
  <c r="BI121" i="61"/>
  <c r="BJ121" i="61"/>
  <c r="BK121" i="61"/>
  <c r="BL121" i="61"/>
  <c r="BM121" i="61"/>
  <c r="BG122" i="61"/>
  <c r="BH122" i="61"/>
  <c r="BI122" i="61"/>
  <c r="BJ122" i="61"/>
  <c r="BK122" i="61"/>
  <c r="BL122" i="61"/>
  <c r="BM122" i="61"/>
  <c r="BG123" i="61"/>
  <c r="BH123" i="61"/>
  <c r="BI123" i="61"/>
  <c r="BJ123" i="61"/>
  <c r="BK123" i="61"/>
  <c r="BL123" i="61"/>
  <c r="BM123" i="61"/>
  <c r="BG124" i="61"/>
  <c r="BH124" i="61"/>
  <c r="BI124" i="61"/>
  <c r="BJ124" i="61"/>
  <c r="BK124" i="61"/>
  <c r="BL124" i="61"/>
  <c r="BM124" i="61"/>
  <c r="BG125" i="61"/>
  <c r="BH125" i="61"/>
  <c r="BI125" i="61"/>
  <c r="BJ125" i="61"/>
  <c r="BK125" i="61"/>
  <c r="BL125" i="61"/>
  <c r="BM125" i="61"/>
  <c r="BG126" i="61"/>
  <c r="BH126" i="61"/>
  <c r="BI126" i="61"/>
  <c r="BJ126" i="61"/>
  <c r="BK126" i="61"/>
  <c r="BL126" i="61"/>
  <c r="BM126" i="61"/>
  <c r="BG127" i="61"/>
  <c r="BH127" i="61"/>
  <c r="BI127" i="61"/>
  <c r="BJ127" i="61"/>
  <c r="BK127" i="61"/>
  <c r="BL127" i="61"/>
  <c r="BM127" i="61"/>
  <c r="BG128" i="61"/>
  <c r="BH128" i="61"/>
  <c r="BI128" i="61"/>
  <c r="BJ128" i="61"/>
  <c r="BK128" i="61"/>
  <c r="BL128" i="61"/>
  <c r="BM128" i="61"/>
  <c r="BG129" i="61"/>
  <c r="BH129" i="61"/>
  <c r="BI129" i="61"/>
  <c r="BJ129" i="61"/>
  <c r="BK129" i="61"/>
  <c r="BL129" i="61"/>
  <c r="BM129" i="61"/>
  <c r="BG130" i="61"/>
  <c r="BH130" i="61"/>
  <c r="BI130" i="61"/>
  <c r="BJ130" i="61"/>
  <c r="BK130" i="61"/>
  <c r="BL130" i="61"/>
  <c r="BM130" i="61"/>
  <c r="BG131" i="61"/>
  <c r="BH131" i="61"/>
  <c r="BI131" i="61"/>
  <c r="BJ131" i="61"/>
  <c r="BK131" i="61"/>
  <c r="BL131" i="61"/>
  <c r="BM131" i="61"/>
  <c r="BG132" i="61"/>
  <c r="BH132" i="61"/>
  <c r="BI132" i="61"/>
  <c r="BJ132" i="61"/>
  <c r="BK132" i="61"/>
  <c r="BL132" i="61"/>
  <c r="BM132" i="61"/>
  <c r="BG133" i="61"/>
  <c r="BH133" i="61"/>
  <c r="BI133" i="61"/>
  <c r="BJ133" i="61"/>
  <c r="BK133" i="61"/>
  <c r="BL133" i="61"/>
  <c r="BM133" i="61"/>
  <c r="BG134" i="61"/>
  <c r="BH134" i="61"/>
  <c r="BI134" i="61"/>
  <c r="BJ134" i="61"/>
  <c r="BK134" i="61"/>
  <c r="BL134" i="61"/>
  <c r="BM134" i="61"/>
  <c r="BG135" i="61"/>
  <c r="BH135" i="61"/>
  <c r="BI135" i="61"/>
  <c r="BJ135" i="61"/>
  <c r="BK135" i="61"/>
  <c r="BL135" i="61"/>
  <c r="BM135" i="61"/>
  <c r="BG136" i="61"/>
  <c r="BH136" i="61"/>
  <c r="BI136" i="61"/>
  <c r="BJ136" i="61"/>
  <c r="BK136" i="61"/>
  <c r="BL136" i="61"/>
  <c r="BM136" i="61"/>
  <c r="BG137" i="61"/>
  <c r="BH137" i="61"/>
  <c r="BI137" i="61"/>
  <c r="BJ137" i="61"/>
  <c r="BK137" i="61"/>
  <c r="BL137" i="61"/>
  <c r="BM137" i="61"/>
  <c r="BG138" i="61"/>
  <c r="BH138" i="61"/>
  <c r="BI138" i="61"/>
  <c r="BJ138" i="61"/>
  <c r="BK138" i="61"/>
  <c r="BL138" i="61"/>
  <c r="BM138" i="61"/>
  <c r="BG139" i="61"/>
  <c r="BH139" i="61"/>
  <c r="BI139" i="61"/>
  <c r="BJ139" i="61"/>
  <c r="BK139" i="61"/>
  <c r="BL139" i="61"/>
  <c r="BM139" i="61"/>
  <c r="BG140" i="61"/>
  <c r="BH140" i="61"/>
  <c r="BI140" i="61"/>
  <c r="BJ140" i="61"/>
  <c r="BK140" i="61"/>
  <c r="BL140" i="61"/>
  <c r="BM140" i="61"/>
  <c r="BG141" i="61"/>
  <c r="BH141" i="61"/>
  <c r="BI141" i="61"/>
  <c r="BJ141" i="61"/>
  <c r="BK141" i="61"/>
  <c r="BL141" i="61"/>
  <c r="BM141" i="61"/>
  <c r="BG142" i="61"/>
  <c r="BH142" i="61"/>
  <c r="BI142" i="61"/>
  <c r="BJ142" i="61"/>
  <c r="BK142" i="61"/>
  <c r="BL142" i="61"/>
  <c r="BM142" i="61"/>
  <c r="BG143" i="61"/>
  <c r="BH143" i="61"/>
  <c r="BI143" i="61"/>
  <c r="BJ143" i="61"/>
  <c r="BK143" i="61"/>
  <c r="BL143" i="61"/>
  <c r="BM143" i="61"/>
  <c r="BG144" i="61"/>
  <c r="BH144" i="61"/>
  <c r="BI144" i="61"/>
  <c r="BJ144" i="61"/>
  <c r="BK144" i="61"/>
  <c r="BL144" i="61"/>
  <c r="BM144" i="61"/>
  <c r="BG145" i="61"/>
  <c r="BH145" i="61"/>
  <c r="BI145" i="61"/>
  <c r="BJ145" i="61"/>
  <c r="BK145" i="61"/>
  <c r="BL145" i="61"/>
  <c r="BM145" i="61"/>
  <c r="BG146" i="61"/>
  <c r="BH146" i="61"/>
  <c r="BI146" i="61"/>
  <c r="BJ146" i="61"/>
  <c r="BK146" i="61"/>
  <c r="BL146" i="61"/>
  <c r="BM146" i="61"/>
  <c r="BG147" i="61"/>
  <c r="BH147" i="61"/>
  <c r="BI147" i="61"/>
  <c r="BJ147" i="61"/>
  <c r="BK147" i="61"/>
  <c r="BL147" i="61"/>
  <c r="BM147" i="61"/>
  <c r="BG148" i="61"/>
  <c r="BH148" i="61"/>
  <c r="BI148" i="61"/>
  <c r="BJ148" i="61"/>
  <c r="BK148" i="61"/>
  <c r="BL148" i="61"/>
  <c r="BM148" i="61"/>
  <c r="BG149" i="61"/>
  <c r="BH149" i="61"/>
  <c r="BI149" i="61"/>
  <c r="BJ149" i="61"/>
  <c r="BK149" i="61"/>
  <c r="BL149" i="61"/>
  <c r="BM149" i="61"/>
  <c r="BG150" i="61"/>
  <c r="BH150" i="61"/>
  <c r="BI150" i="61"/>
  <c r="BJ150" i="61"/>
  <c r="BK150" i="61"/>
  <c r="BL150" i="61"/>
  <c r="BM150" i="61"/>
  <c r="BG151" i="61"/>
  <c r="BH151" i="61"/>
  <c r="BI151" i="61"/>
  <c r="BJ151" i="61"/>
  <c r="BK151" i="61"/>
  <c r="BL151" i="61"/>
  <c r="BM151" i="61"/>
  <c r="BG152" i="61"/>
  <c r="BH152" i="61"/>
  <c r="BI152" i="61"/>
  <c r="BJ152" i="61"/>
  <c r="BK152" i="61"/>
  <c r="BL152" i="61"/>
  <c r="BM152" i="61"/>
  <c r="BG153" i="61"/>
  <c r="BH153" i="61"/>
  <c r="BI153" i="61"/>
  <c r="BJ153" i="61"/>
  <c r="BK153" i="61"/>
  <c r="BL153" i="61"/>
  <c r="BM153" i="61"/>
  <c r="BG154" i="61"/>
  <c r="BH154" i="61"/>
  <c r="BI154" i="61"/>
  <c r="BJ154" i="61"/>
  <c r="BK154" i="61"/>
  <c r="BL154" i="61"/>
  <c r="BM154" i="61"/>
  <c r="BG155" i="61"/>
  <c r="BH155" i="61"/>
  <c r="BI155" i="61"/>
  <c r="BJ155" i="61"/>
  <c r="BK155" i="61"/>
  <c r="BL155" i="61"/>
  <c r="BM155" i="61"/>
  <c r="BG156" i="61"/>
  <c r="BH156" i="61"/>
  <c r="BI156" i="61"/>
  <c r="BJ156" i="61"/>
  <c r="BK156" i="61"/>
  <c r="BL156" i="61"/>
  <c r="BM156" i="61"/>
  <c r="BG157" i="61"/>
  <c r="BH157" i="61"/>
  <c r="BI157" i="61"/>
  <c r="BJ157" i="61"/>
  <c r="BK157" i="61"/>
  <c r="BL157" i="61"/>
  <c r="BM157" i="61"/>
  <c r="BG158" i="61"/>
  <c r="BH158" i="61"/>
  <c r="BI158" i="61"/>
  <c r="BJ158" i="61"/>
  <c r="BK158" i="61"/>
  <c r="BL158" i="61"/>
  <c r="BM158" i="61"/>
  <c r="BG159" i="61"/>
  <c r="BH159" i="61"/>
  <c r="BI159" i="61"/>
  <c r="BJ159" i="61"/>
  <c r="BK159" i="61"/>
  <c r="BL159" i="61"/>
  <c r="BM159" i="61"/>
  <c r="BG160" i="61"/>
  <c r="BH160" i="61"/>
  <c r="BI160" i="61"/>
  <c r="BJ160" i="61"/>
  <c r="BK160" i="61"/>
  <c r="BL160" i="61"/>
  <c r="BM160" i="61"/>
  <c r="BG161" i="61"/>
  <c r="BH161" i="61"/>
  <c r="BI161" i="61"/>
  <c r="BJ161" i="61"/>
  <c r="BK161" i="61"/>
  <c r="BL161" i="61"/>
  <c r="BM161" i="61"/>
  <c r="BG162" i="61"/>
  <c r="BH162" i="61"/>
  <c r="BI162" i="61"/>
  <c r="BJ162" i="61"/>
  <c r="BK162" i="61"/>
  <c r="BL162" i="61"/>
  <c r="BM162" i="61"/>
  <c r="BG163" i="61"/>
  <c r="BH163" i="61"/>
  <c r="BI163" i="61"/>
  <c r="BJ163" i="61"/>
  <c r="BK163" i="61"/>
  <c r="BL163" i="61"/>
  <c r="BM163" i="61"/>
  <c r="BG164" i="61"/>
  <c r="BH164" i="61"/>
  <c r="BI164" i="61"/>
  <c r="BJ164" i="61"/>
  <c r="BK164" i="61"/>
  <c r="BL164" i="61"/>
  <c r="BM164" i="61"/>
  <c r="BG165" i="61"/>
  <c r="BH165" i="61"/>
  <c r="BI165" i="61"/>
  <c r="BJ165" i="61"/>
  <c r="BK165" i="61"/>
  <c r="BL165" i="61"/>
  <c r="BM165" i="61"/>
  <c r="BG166" i="61"/>
  <c r="BH166" i="61"/>
  <c r="BI166" i="61"/>
  <c r="BJ166" i="61"/>
  <c r="BK166" i="61"/>
  <c r="BL166" i="61"/>
  <c r="BM166" i="61"/>
  <c r="BG167" i="61"/>
  <c r="BH167" i="61"/>
  <c r="BI167" i="61"/>
  <c r="BJ167" i="61"/>
  <c r="BK167" i="61"/>
  <c r="BL167" i="61"/>
  <c r="BM167" i="61"/>
  <c r="BG168" i="61"/>
  <c r="BH168" i="61"/>
  <c r="BI168" i="61"/>
  <c r="BJ168" i="61"/>
  <c r="BK168" i="61"/>
  <c r="BL168" i="61"/>
  <c r="BM168" i="61"/>
  <c r="BG169" i="61"/>
  <c r="BH169" i="61"/>
  <c r="BI169" i="61"/>
  <c r="BJ169" i="61"/>
  <c r="BK169" i="61"/>
  <c r="BL169" i="61"/>
  <c r="BM169" i="61"/>
  <c r="BG170" i="61"/>
  <c r="BH170" i="61"/>
  <c r="BI170" i="61"/>
  <c r="BJ170" i="61"/>
  <c r="BK170" i="61"/>
  <c r="BL170" i="61"/>
  <c r="BM170" i="61"/>
  <c r="BG171" i="61"/>
  <c r="BH171" i="61"/>
  <c r="BI171" i="61"/>
  <c r="BJ171" i="61"/>
  <c r="BK171" i="61"/>
  <c r="BL171" i="61"/>
  <c r="BM171" i="61"/>
  <c r="BG172" i="61"/>
  <c r="BH172" i="61"/>
  <c r="BI172" i="61"/>
  <c r="BJ172" i="61"/>
  <c r="BK172" i="61"/>
  <c r="BL172" i="61"/>
  <c r="BM172" i="61"/>
  <c r="BG173" i="61"/>
  <c r="BH173" i="61"/>
  <c r="BI173" i="61"/>
  <c r="BJ173" i="61"/>
  <c r="BK173" i="61"/>
  <c r="BL173" i="61"/>
  <c r="BM173" i="61"/>
  <c r="BG174" i="61"/>
  <c r="BH174" i="61"/>
  <c r="BI174" i="61"/>
  <c r="BJ174" i="61"/>
  <c r="BK174" i="61"/>
  <c r="BL174" i="61"/>
  <c r="BM174" i="61"/>
  <c r="BG175" i="61"/>
  <c r="BH175" i="61"/>
  <c r="BI175" i="61"/>
  <c r="BJ175" i="61"/>
  <c r="BK175" i="61"/>
  <c r="BL175" i="61"/>
  <c r="BM175" i="61"/>
  <c r="BG176" i="61"/>
  <c r="BH176" i="61"/>
  <c r="BI176" i="61"/>
  <c r="BJ176" i="61"/>
  <c r="BK176" i="61"/>
  <c r="BL176" i="61"/>
  <c r="BM176" i="61"/>
  <c r="BG177" i="61"/>
  <c r="BH177" i="61"/>
  <c r="BI177" i="61"/>
  <c r="BJ177" i="61"/>
  <c r="BK177" i="61"/>
  <c r="BL177" i="61"/>
  <c r="BM177" i="61"/>
  <c r="BG178" i="61"/>
  <c r="BH178" i="61"/>
  <c r="BI178" i="61"/>
  <c r="BJ178" i="61"/>
  <c r="BK178" i="61"/>
  <c r="BL178" i="61"/>
  <c r="BM178" i="61"/>
  <c r="BG179" i="61"/>
  <c r="BH179" i="61"/>
  <c r="BI179" i="61"/>
  <c r="BJ179" i="61"/>
  <c r="BK179" i="61"/>
  <c r="BL179" i="61"/>
  <c r="BM179" i="61"/>
  <c r="BG180" i="61"/>
  <c r="BH180" i="61"/>
  <c r="BI180" i="61"/>
  <c r="BJ180" i="61"/>
  <c r="BK180" i="61"/>
  <c r="BL180" i="61"/>
  <c r="BM180" i="61"/>
  <c r="BG181" i="61"/>
  <c r="BH181" i="61"/>
  <c r="BI181" i="61"/>
  <c r="BJ181" i="61"/>
  <c r="BK181" i="61"/>
  <c r="BL181" i="61"/>
  <c r="BM181" i="61"/>
  <c r="BG182" i="61"/>
  <c r="BH182" i="61"/>
  <c r="BI182" i="61"/>
  <c r="BJ182" i="61"/>
  <c r="BK182" i="61"/>
  <c r="BL182" i="61"/>
  <c r="BM182" i="61"/>
  <c r="BG183" i="61"/>
  <c r="BH183" i="61"/>
  <c r="BI183" i="61"/>
  <c r="BJ183" i="61"/>
  <c r="BK183" i="61"/>
  <c r="BL183" i="61"/>
  <c r="BM183" i="61"/>
  <c r="BG184" i="61"/>
  <c r="BH184" i="61"/>
  <c r="BI184" i="61"/>
  <c r="BJ184" i="61"/>
  <c r="BK184" i="61"/>
  <c r="BL184" i="61"/>
  <c r="BM184" i="61"/>
  <c r="BG185" i="61"/>
  <c r="BH185" i="61"/>
  <c r="BI185" i="61"/>
  <c r="BJ185" i="61"/>
  <c r="BK185" i="61"/>
  <c r="BL185" i="61"/>
  <c r="BM185" i="61"/>
  <c r="BG186" i="61"/>
  <c r="BH186" i="61"/>
  <c r="BI186" i="61"/>
  <c r="BJ186" i="61"/>
  <c r="BK186" i="61"/>
  <c r="BL186" i="61"/>
  <c r="BM186" i="61"/>
  <c r="BG187" i="61"/>
  <c r="BH187" i="61"/>
  <c r="BI187" i="61"/>
  <c r="BJ187" i="61"/>
  <c r="BK187" i="61"/>
  <c r="BL187" i="61"/>
  <c r="BM187" i="61"/>
  <c r="BG188" i="61"/>
  <c r="BH188" i="61"/>
  <c r="BI188" i="61"/>
  <c r="BJ188" i="61"/>
  <c r="BK188" i="61"/>
  <c r="BL188" i="61"/>
  <c r="BM188" i="61"/>
  <c r="BG189" i="61"/>
  <c r="BH189" i="61"/>
  <c r="BI189" i="61"/>
  <c r="BJ189" i="61"/>
  <c r="BK189" i="61"/>
  <c r="BL189" i="61"/>
  <c r="BM189" i="61"/>
  <c r="BG190" i="61"/>
  <c r="BH190" i="61"/>
  <c r="BI190" i="61"/>
  <c r="BJ190" i="61"/>
  <c r="BK190" i="61"/>
  <c r="BL190" i="61"/>
  <c r="BM190" i="61"/>
  <c r="BG191" i="61"/>
  <c r="BH191" i="61"/>
  <c r="BI191" i="61"/>
  <c r="BJ191" i="61"/>
  <c r="BK191" i="61"/>
  <c r="BL191" i="61"/>
  <c r="BM191" i="61"/>
  <c r="BG192" i="61"/>
  <c r="BH192" i="61"/>
  <c r="BI192" i="61"/>
  <c r="BJ192" i="61"/>
  <c r="BK192" i="61"/>
  <c r="BL192" i="61"/>
  <c r="BM192" i="61"/>
  <c r="BG193" i="61"/>
  <c r="BH193" i="61"/>
  <c r="BI193" i="61"/>
  <c r="BJ193" i="61"/>
  <c r="BK193" i="61"/>
  <c r="BL193" i="61"/>
  <c r="BM193" i="61"/>
  <c r="BG194" i="61"/>
  <c r="BH194" i="61"/>
  <c r="BI194" i="61"/>
  <c r="BJ194" i="61"/>
  <c r="BK194" i="61"/>
  <c r="BL194" i="61"/>
  <c r="BM194" i="61"/>
  <c r="BG195" i="61"/>
  <c r="BH195" i="61"/>
  <c r="BI195" i="61"/>
  <c r="BJ195" i="61"/>
  <c r="BK195" i="61"/>
  <c r="BL195" i="61"/>
  <c r="BM195" i="61"/>
  <c r="BG196" i="61"/>
  <c r="BH196" i="61"/>
  <c r="BI196" i="61"/>
  <c r="BJ196" i="61"/>
  <c r="BK196" i="61"/>
  <c r="BL196" i="61"/>
  <c r="BM196" i="61"/>
  <c r="BG197" i="61"/>
  <c r="BH197" i="61"/>
  <c r="BI197" i="61"/>
  <c r="BJ197" i="61"/>
  <c r="BK197" i="61"/>
  <c r="BL197" i="61"/>
  <c r="BM197" i="61"/>
  <c r="BG198" i="61"/>
  <c r="BH198" i="61"/>
  <c r="BI198" i="61"/>
  <c r="BJ198" i="61"/>
  <c r="BK198" i="61"/>
  <c r="BL198" i="61"/>
  <c r="BM198" i="61"/>
  <c r="BG199" i="61"/>
  <c r="BH199" i="61"/>
  <c r="BI199" i="61"/>
  <c r="BJ199" i="61"/>
  <c r="BK199" i="61"/>
  <c r="BL199" i="61"/>
  <c r="BM199" i="61"/>
  <c r="BG200" i="61"/>
  <c r="BH200" i="61"/>
  <c r="BI200" i="61"/>
  <c r="BJ200" i="61"/>
  <c r="BK200" i="61"/>
  <c r="BL200" i="61"/>
  <c r="BM200" i="61"/>
  <c r="BG201" i="61"/>
  <c r="BH201" i="61"/>
  <c r="BI201" i="61"/>
  <c r="BJ201" i="61"/>
  <c r="BK201" i="61"/>
  <c r="BL201" i="61"/>
  <c r="BM201" i="61"/>
  <c r="BG202" i="61"/>
  <c r="BH202" i="61"/>
  <c r="BI202" i="61"/>
  <c r="BJ202" i="61"/>
  <c r="BK202" i="61"/>
  <c r="BL202" i="61"/>
  <c r="BM202" i="61"/>
  <c r="BG203" i="61"/>
  <c r="BH203" i="61"/>
  <c r="BI203" i="61"/>
  <c r="BJ203" i="61"/>
  <c r="BK203" i="61"/>
  <c r="BL203" i="61"/>
  <c r="BM203" i="61"/>
  <c r="BG204" i="61"/>
  <c r="BH204" i="61"/>
  <c r="BI204" i="61"/>
  <c r="BJ204" i="61"/>
  <c r="BK204" i="61"/>
  <c r="BL204" i="61"/>
  <c r="BM204" i="61"/>
  <c r="BG205" i="61"/>
  <c r="BH205" i="61"/>
  <c r="BI205" i="61"/>
  <c r="BJ205" i="61"/>
  <c r="BK205" i="61"/>
  <c r="BL205" i="61"/>
  <c r="BM205" i="61"/>
  <c r="BG206" i="61"/>
  <c r="BH206" i="61"/>
  <c r="BI206" i="61"/>
  <c r="BJ206" i="61"/>
  <c r="BK206" i="61"/>
  <c r="BL206" i="61"/>
  <c r="BM206" i="61"/>
  <c r="BG207" i="61"/>
  <c r="BH207" i="61"/>
  <c r="BI207" i="61"/>
  <c r="BJ207" i="61"/>
  <c r="BK207" i="61"/>
  <c r="BL207" i="61"/>
  <c r="BM207" i="61"/>
  <c r="BG208" i="61"/>
  <c r="BH208" i="61"/>
  <c r="BI208" i="61"/>
  <c r="BJ208" i="61"/>
  <c r="BK208" i="61"/>
  <c r="BL208" i="61"/>
  <c r="BM208" i="61"/>
  <c r="BG209" i="61"/>
  <c r="BH209" i="61"/>
  <c r="BI209" i="61"/>
  <c r="BJ209" i="61"/>
  <c r="BK209" i="61"/>
  <c r="BL209" i="61"/>
  <c r="BM209" i="61"/>
  <c r="BG210" i="61"/>
  <c r="BH210" i="61"/>
  <c r="BI210" i="61"/>
  <c r="BJ210" i="61"/>
  <c r="BK210" i="61"/>
  <c r="BL210" i="61"/>
  <c r="BM210" i="61"/>
  <c r="BG211" i="61"/>
  <c r="BH211" i="61"/>
  <c r="BI211" i="61"/>
  <c r="BJ211" i="61"/>
  <c r="BK211" i="61"/>
  <c r="BL211" i="61"/>
  <c r="BM211" i="61"/>
  <c r="BG212" i="61"/>
  <c r="BH212" i="61"/>
  <c r="BI212" i="61"/>
  <c r="BJ212" i="61"/>
  <c r="BK212" i="61"/>
  <c r="BL212" i="61"/>
  <c r="BM212" i="61"/>
  <c r="BG213" i="61"/>
  <c r="BH213" i="61"/>
  <c r="BI213" i="61"/>
  <c r="BJ213" i="61"/>
  <c r="BK213" i="61"/>
  <c r="BL213" i="61"/>
  <c r="BM213" i="61"/>
  <c r="BG214" i="61"/>
  <c r="BH214" i="61"/>
  <c r="BI214" i="61"/>
  <c r="BJ214" i="61"/>
  <c r="BK214" i="61"/>
  <c r="BL214" i="61"/>
  <c r="BM214" i="61"/>
  <c r="BG215" i="61"/>
  <c r="BH215" i="61"/>
  <c r="BI215" i="61"/>
  <c r="BJ215" i="61"/>
  <c r="BK215" i="61"/>
  <c r="BL215" i="61"/>
  <c r="BM215" i="61"/>
  <c r="BG216" i="61"/>
  <c r="BH216" i="61"/>
  <c r="BI216" i="61"/>
  <c r="BJ216" i="61"/>
  <c r="BK216" i="61"/>
  <c r="BL216" i="61"/>
  <c r="BM216" i="61"/>
  <c r="BG217" i="61"/>
  <c r="BH217" i="61"/>
  <c r="BI217" i="61"/>
  <c r="BJ217" i="61"/>
  <c r="BK217" i="61"/>
  <c r="BL217" i="61"/>
  <c r="BM217" i="61"/>
  <c r="BG218" i="61"/>
  <c r="BH218" i="61"/>
  <c r="BI218" i="61"/>
  <c r="BJ218" i="61"/>
  <c r="BK218" i="61"/>
  <c r="BL218" i="61"/>
  <c r="BM218" i="61"/>
  <c r="BG219" i="61"/>
  <c r="BH219" i="61"/>
  <c r="BI219" i="61"/>
  <c r="BJ219" i="61"/>
  <c r="BK219" i="61"/>
  <c r="BL219" i="61"/>
  <c r="BM219" i="61"/>
  <c r="BG220" i="61"/>
  <c r="BH220" i="61"/>
  <c r="BI220" i="61"/>
  <c r="BJ220" i="61"/>
  <c r="BK220" i="61"/>
  <c r="BL220" i="61"/>
  <c r="BM220" i="61"/>
  <c r="BG221" i="61"/>
  <c r="BH221" i="61"/>
  <c r="BI221" i="61"/>
  <c r="BJ221" i="61"/>
  <c r="BK221" i="61"/>
  <c r="BL221" i="61"/>
  <c r="BM221" i="61"/>
  <c r="BG222" i="61"/>
  <c r="BH222" i="61"/>
  <c r="BI222" i="61"/>
  <c r="BJ222" i="61"/>
  <c r="BK222" i="61"/>
  <c r="BL222" i="61"/>
  <c r="BM222" i="61"/>
  <c r="BG223" i="61"/>
  <c r="BH223" i="61"/>
  <c r="BI223" i="61"/>
  <c r="BJ223" i="61"/>
  <c r="BK223" i="61"/>
  <c r="BL223" i="61"/>
  <c r="BM223" i="61"/>
  <c r="BG224" i="61"/>
  <c r="BH224" i="61"/>
  <c r="BI224" i="61"/>
  <c r="BJ224" i="61"/>
  <c r="BK224" i="61"/>
  <c r="BL224" i="61"/>
  <c r="BM224" i="61"/>
  <c r="BG225" i="61"/>
  <c r="BH225" i="61"/>
  <c r="BI225" i="61"/>
  <c r="BJ225" i="61"/>
  <c r="BK225" i="61"/>
  <c r="BL225" i="61"/>
  <c r="BM225" i="61"/>
  <c r="BG226" i="61"/>
  <c r="BH226" i="61"/>
  <c r="BI226" i="61"/>
  <c r="BJ226" i="61"/>
  <c r="BK226" i="61"/>
  <c r="BL226" i="61"/>
  <c r="BM226" i="61"/>
  <c r="BG227" i="61"/>
  <c r="BH227" i="61"/>
  <c r="BI227" i="61"/>
  <c r="BJ227" i="61"/>
  <c r="BK227" i="61"/>
  <c r="BL227" i="61"/>
  <c r="BM227" i="61"/>
  <c r="BG228" i="61"/>
  <c r="BH228" i="61"/>
  <c r="BI228" i="61"/>
  <c r="BJ228" i="61"/>
  <c r="BK228" i="61"/>
  <c r="BL228" i="61"/>
  <c r="BM228" i="61"/>
  <c r="BG229" i="61"/>
  <c r="BH229" i="61"/>
  <c r="BI229" i="61"/>
  <c r="BJ229" i="61"/>
  <c r="BK229" i="61"/>
  <c r="BL229" i="61"/>
  <c r="BM229" i="61"/>
  <c r="BG230" i="61"/>
  <c r="BH230" i="61"/>
  <c r="BI230" i="61"/>
  <c r="BJ230" i="61"/>
  <c r="BK230" i="61"/>
  <c r="BL230" i="61"/>
  <c r="BM230" i="61"/>
  <c r="BG231" i="61"/>
  <c r="BH231" i="61"/>
  <c r="BI231" i="61"/>
  <c r="BJ231" i="61"/>
  <c r="BK231" i="61"/>
  <c r="BL231" i="61"/>
  <c r="BM231" i="61"/>
  <c r="BG232" i="61"/>
  <c r="BH232" i="61"/>
  <c r="BI232" i="61"/>
  <c r="BJ232" i="61"/>
  <c r="BK232" i="61"/>
  <c r="BL232" i="61"/>
  <c r="BM232" i="61"/>
  <c r="BG233" i="61"/>
  <c r="BH233" i="61"/>
  <c r="BI233" i="61"/>
  <c r="BJ233" i="61"/>
  <c r="BK233" i="61"/>
  <c r="BL233" i="61"/>
  <c r="BM233" i="61"/>
  <c r="BG234" i="61"/>
  <c r="BH234" i="61"/>
  <c r="BI234" i="61"/>
  <c r="BJ234" i="61"/>
  <c r="BK234" i="61"/>
  <c r="BL234" i="61"/>
  <c r="BM234" i="61"/>
  <c r="BG235" i="61"/>
  <c r="BH235" i="61"/>
  <c r="BI235" i="61"/>
  <c r="BJ235" i="61"/>
  <c r="BK235" i="61"/>
  <c r="BL235" i="61"/>
  <c r="BM235" i="61"/>
  <c r="BG236" i="61"/>
  <c r="BH236" i="61"/>
  <c r="BI236" i="61"/>
  <c r="BJ236" i="61"/>
  <c r="BK236" i="61"/>
  <c r="BL236" i="61"/>
  <c r="BM236" i="61"/>
  <c r="BG237" i="61"/>
  <c r="BH237" i="61"/>
  <c r="BI237" i="61"/>
  <c r="BJ237" i="61"/>
  <c r="BK237" i="61"/>
  <c r="BL237" i="61"/>
  <c r="BM237" i="61"/>
  <c r="BG238" i="61"/>
  <c r="BH238" i="61"/>
  <c r="BI238" i="61"/>
  <c r="BJ238" i="61"/>
  <c r="BK238" i="61"/>
  <c r="BL238" i="61"/>
  <c r="BM238" i="61"/>
  <c r="BG239" i="61"/>
  <c r="BH239" i="61"/>
  <c r="BI239" i="61"/>
  <c r="BJ239" i="61"/>
  <c r="BK239" i="61"/>
  <c r="BL239" i="61"/>
  <c r="BM239" i="61"/>
  <c r="BG240" i="61"/>
  <c r="BH240" i="61"/>
  <c r="BI240" i="61"/>
  <c r="BJ240" i="61"/>
  <c r="BK240" i="61"/>
  <c r="BL240" i="61"/>
  <c r="BM240" i="61"/>
  <c r="BG241" i="61"/>
  <c r="BH241" i="61"/>
  <c r="BI241" i="61"/>
  <c r="BJ241" i="61"/>
  <c r="BK241" i="61"/>
  <c r="BL241" i="61"/>
  <c r="BM241" i="61"/>
  <c r="BG242" i="61"/>
  <c r="BH242" i="61"/>
  <c r="BI242" i="61"/>
  <c r="BJ242" i="61"/>
  <c r="BK242" i="61"/>
  <c r="BL242" i="61"/>
  <c r="BM242" i="61"/>
  <c r="BG243" i="61"/>
  <c r="BH243" i="61"/>
  <c r="BI243" i="61"/>
  <c r="BJ243" i="61"/>
  <c r="BK243" i="61"/>
  <c r="BL243" i="61"/>
  <c r="BM243" i="61"/>
  <c r="BG244" i="61"/>
  <c r="BH244" i="61"/>
  <c r="BI244" i="61"/>
  <c r="BJ244" i="61"/>
  <c r="BK244" i="61"/>
  <c r="BL244" i="61"/>
  <c r="BM244" i="61"/>
  <c r="BG245" i="61"/>
  <c r="BH245" i="61"/>
  <c r="BI245" i="61"/>
  <c r="BJ245" i="61"/>
  <c r="BK245" i="61"/>
  <c r="BL245" i="61"/>
  <c r="BM245" i="61"/>
  <c r="BG246" i="61"/>
  <c r="BH246" i="61"/>
  <c r="BI246" i="61"/>
  <c r="BJ246" i="61"/>
  <c r="BK246" i="61"/>
  <c r="BL246" i="61"/>
  <c r="BM246" i="61"/>
  <c r="BG247" i="61"/>
  <c r="BH247" i="61"/>
  <c r="BI247" i="61"/>
  <c r="BJ247" i="61"/>
  <c r="BK247" i="61"/>
  <c r="BL247" i="61"/>
  <c r="BM247" i="61"/>
  <c r="BG248" i="61"/>
  <c r="BH248" i="61"/>
  <c r="BI248" i="61"/>
  <c r="BJ248" i="61"/>
  <c r="BK248" i="61"/>
  <c r="BL248" i="61"/>
  <c r="BM248" i="61"/>
  <c r="BG249" i="61"/>
  <c r="BH249" i="61"/>
  <c r="BI249" i="61"/>
  <c r="BJ249" i="61"/>
  <c r="BK249" i="61"/>
  <c r="BL249" i="61"/>
  <c r="BM249" i="61"/>
  <c r="BG250" i="61"/>
  <c r="BH250" i="61"/>
  <c r="BI250" i="61"/>
  <c r="BJ250" i="61"/>
  <c r="BK250" i="61"/>
  <c r="BL250" i="61"/>
  <c r="BM250" i="61"/>
  <c r="BG251" i="61"/>
  <c r="BH251" i="61"/>
  <c r="BI251" i="61"/>
  <c r="BJ251" i="61"/>
  <c r="BK251" i="61"/>
  <c r="BL251" i="61"/>
  <c r="BM251" i="61"/>
  <c r="BG252" i="61"/>
  <c r="BH252" i="61"/>
  <c r="BI252" i="61"/>
  <c r="BJ252" i="61"/>
  <c r="BK252" i="61"/>
  <c r="BL252" i="61"/>
  <c r="BM252" i="61"/>
  <c r="BG253" i="61"/>
  <c r="BH253" i="61"/>
  <c r="BI253" i="61"/>
  <c r="BJ253" i="61"/>
  <c r="BK253" i="61"/>
  <c r="BL253" i="61"/>
  <c r="BM253" i="61"/>
  <c r="BM8" i="61"/>
  <c r="BH8" i="61"/>
  <c r="BI8" i="61"/>
  <c r="BJ8" i="61"/>
  <c r="BK8" i="61"/>
  <c r="BL8" i="61"/>
  <c r="BG8" i="61"/>
  <c r="AX9" i="61"/>
  <c r="AY9" i="61"/>
  <c r="AZ9" i="61"/>
  <c r="BA9" i="61"/>
  <c r="BB9" i="61"/>
  <c r="BC9" i="61"/>
  <c r="BD9" i="61"/>
  <c r="AX10" i="61"/>
  <c r="AY10" i="61"/>
  <c r="AZ10" i="61"/>
  <c r="BA10" i="61"/>
  <c r="BB10" i="61"/>
  <c r="BC10" i="61"/>
  <c r="BD10" i="61"/>
  <c r="AX11" i="61"/>
  <c r="AY11" i="61"/>
  <c r="AZ11" i="61"/>
  <c r="BA11" i="61"/>
  <c r="BB11" i="61"/>
  <c r="BC11" i="61"/>
  <c r="BD11" i="61"/>
  <c r="AX12" i="61"/>
  <c r="AY12" i="61"/>
  <c r="AZ12" i="61"/>
  <c r="BA12" i="61"/>
  <c r="BB12" i="61"/>
  <c r="BC12" i="61"/>
  <c r="BD12" i="61"/>
  <c r="AX13" i="61"/>
  <c r="AY13" i="61"/>
  <c r="AZ13" i="61"/>
  <c r="BA13" i="61"/>
  <c r="BB13" i="61"/>
  <c r="BC13" i="61"/>
  <c r="BD13" i="61"/>
  <c r="AX14" i="61"/>
  <c r="AY14" i="61"/>
  <c r="AZ14" i="61"/>
  <c r="BA14" i="61"/>
  <c r="BB14" i="61"/>
  <c r="BC14" i="61"/>
  <c r="BD14" i="61"/>
  <c r="AX15" i="61"/>
  <c r="AY15" i="61"/>
  <c r="AZ15" i="61"/>
  <c r="BA15" i="61"/>
  <c r="BB15" i="61"/>
  <c r="BC15" i="61"/>
  <c r="BD15" i="61"/>
  <c r="AX16" i="61"/>
  <c r="AY16" i="61"/>
  <c r="AZ16" i="61"/>
  <c r="BA16" i="61"/>
  <c r="BB16" i="61"/>
  <c r="BC16" i="61"/>
  <c r="BD16" i="61"/>
  <c r="AX17" i="61"/>
  <c r="AY17" i="61"/>
  <c r="AZ17" i="61"/>
  <c r="BA17" i="61"/>
  <c r="BB17" i="61"/>
  <c r="BC17" i="61"/>
  <c r="BD17" i="61"/>
  <c r="AX18" i="61"/>
  <c r="AY18" i="61"/>
  <c r="AZ18" i="61"/>
  <c r="BA18" i="61"/>
  <c r="BB18" i="61"/>
  <c r="BC18" i="61"/>
  <c r="BD18" i="61"/>
  <c r="AX19" i="61"/>
  <c r="AY19" i="61"/>
  <c r="AZ19" i="61"/>
  <c r="BA19" i="61"/>
  <c r="BB19" i="61"/>
  <c r="BC19" i="61"/>
  <c r="BD19" i="61"/>
  <c r="AX20" i="61"/>
  <c r="AY20" i="61"/>
  <c r="AZ20" i="61"/>
  <c r="BA20" i="61"/>
  <c r="BB20" i="61"/>
  <c r="BC20" i="61"/>
  <c r="BD20" i="61"/>
  <c r="AX21" i="61"/>
  <c r="AY21" i="61"/>
  <c r="AZ21" i="61"/>
  <c r="BA21" i="61"/>
  <c r="BB21" i="61"/>
  <c r="BC21" i="61"/>
  <c r="BD21" i="61"/>
  <c r="AX22" i="61"/>
  <c r="AY22" i="61"/>
  <c r="AZ22" i="61"/>
  <c r="BA22" i="61"/>
  <c r="BB22" i="61"/>
  <c r="BC22" i="61"/>
  <c r="BD22" i="61"/>
  <c r="AX23" i="61"/>
  <c r="AY23" i="61"/>
  <c r="AZ23" i="61"/>
  <c r="BA23" i="61"/>
  <c r="BB23" i="61"/>
  <c r="BC23" i="61"/>
  <c r="BD23" i="61"/>
  <c r="AX24" i="61"/>
  <c r="AY24" i="61"/>
  <c r="AZ24" i="61"/>
  <c r="BA24" i="61"/>
  <c r="BB24" i="61"/>
  <c r="BC24" i="61"/>
  <c r="BD24" i="61"/>
  <c r="AX25" i="61"/>
  <c r="AY25" i="61"/>
  <c r="AZ25" i="61"/>
  <c r="BA25" i="61"/>
  <c r="BB25" i="61"/>
  <c r="BC25" i="61"/>
  <c r="BD25" i="61"/>
  <c r="AX26" i="61"/>
  <c r="AY26" i="61"/>
  <c r="AZ26" i="61"/>
  <c r="BA26" i="61"/>
  <c r="BB26" i="61"/>
  <c r="BC26" i="61"/>
  <c r="BD26" i="61"/>
  <c r="AX27" i="61"/>
  <c r="AY27" i="61"/>
  <c r="AZ27" i="61"/>
  <c r="BA27" i="61"/>
  <c r="BB27" i="61"/>
  <c r="BC27" i="61"/>
  <c r="BD27" i="61"/>
  <c r="AX28" i="61"/>
  <c r="AY28" i="61"/>
  <c r="AZ28" i="61"/>
  <c r="BA28" i="61"/>
  <c r="BB28" i="61"/>
  <c r="BC28" i="61"/>
  <c r="BD28" i="61"/>
  <c r="AX29" i="61"/>
  <c r="AY29" i="61"/>
  <c r="AZ29" i="61"/>
  <c r="BA29" i="61"/>
  <c r="BB29" i="61"/>
  <c r="BC29" i="61"/>
  <c r="BD29" i="61"/>
  <c r="AX30" i="61"/>
  <c r="AY30" i="61"/>
  <c r="AZ30" i="61"/>
  <c r="BA30" i="61"/>
  <c r="BB30" i="61"/>
  <c r="BC30" i="61"/>
  <c r="BD30" i="61"/>
  <c r="AX31" i="61"/>
  <c r="AY31" i="61"/>
  <c r="AZ31" i="61"/>
  <c r="BA31" i="61"/>
  <c r="BB31" i="61"/>
  <c r="BC31" i="61"/>
  <c r="BD31" i="61"/>
  <c r="AX32" i="61"/>
  <c r="AY32" i="61"/>
  <c r="AZ32" i="61"/>
  <c r="BA32" i="61"/>
  <c r="BB32" i="61"/>
  <c r="BC32" i="61"/>
  <c r="BD32" i="61"/>
  <c r="AX33" i="61"/>
  <c r="AY33" i="61"/>
  <c r="AZ33" i="61"/>
  <c r="BA33" i="61"/>
  <c r="BB33" i="61"/>
  <c r="BC33" i="61"/>
  <c r="BD33" i="61"/>
  <c r="AX34" i="61"/>
  <c r="AY34" i="61"/>
  <c r="AZ34" i="61"/>
  <c r="BA34" i="61"/>
  <c r="BB34" i="61"/>
  <c r="BC34" i="61"/>
  <c r="BD34" i="61"/>
  <c r="AX35" i="61"/>
  <c r="AY35" i="61"/>
  <c r="AZ35" i="61"/>
  <c r="BA35" i="61"/>
  <c r="BB35" i="61"/>
  <c r="BC35" i="61"/>
  <c r="BD35" i="61"/>
  <c r="AX36" i="61"/>
  <c r="AY36" i="61"/>
  <c r="AZ36" i="61"/>
  <c r="BA36" i="61"/>
  <c r="BB36" i="61"/>
  <c r="BC36" i="61"/>
  <c r="BD36" i="61"/>
  <c r="AX37" i="61"/>
  <c r="AY37" i="61"/>
  <c r="AZ37" i="61"/>
  <c r="BA37" i="61"/>
  <c r="BB37" i="61"/>
  <c r="BC37" i="61"/>
  <c r="BD37" i="61"/>
  <c r="AX38" i="61"/>
  <c r="AY38" i="61"/>
  <c r="AZ38" i="61"/>
  <c r="BA38" i="61"/>
  <c r="BB38" i="61"/>
  <c r="BC38" i="61"/>
  <c r="BD38" i="61"/>
  <c r="AX39" i="61"/>
  <c r="AY39" i="61"/>
  <c r="AZ39" i="61"/>
  <c r="BA39" i="61"/>
  <c r="BB39" i="61"/>
  <c r="BC39" i="61"/>
  <c r="BD39" i="61"/>
  <c r="AX40" i="61"/>
  <c r="AY40" i="61"/>
  <c r="AZ40" i="61"/>
  <c r="BA40" i="61"/>
  <c r="BB40" i="61"/>
  <c r="BC40" i="61"/>
  <c r="BD40" i="61"/>
  <c r="AX41" i="61"/>
  <c r="AY41" i="61"/>
  <c r="AZ41" i="61"/>
  <c r="BA41" i="61"/>
  <c r="BB41" i="61"/>
  <c r="BC41" i="61"/>
  <c r="BD41" i="61"/>
  <c r="AX42" i="61"/>
  <c r="AY42" i="61"/>
  <c r="AZ42" i="61"/>
  <c r="BA42" i="61"/>
  <c r="BB42" i="61"/>
  <c r="BC42" i="61"/>
  <c r="BD42" i="61"/>
  <c r="AX43" i="61"/>
  <c r="AY43" i="61"/>
  <c r="AZ43" i="61"/>
  <c r="BA43" i="61"/>
  <c r="BB43" i="61"/>
  <c r="BC43" i="61"/>
  <c r="BD43" i="61"/>
  <c r="AX44" i="61"/>
  <c r="AY44" i="61"/>
  <c r="AZ44" i="61"/>
  <c r="BA44" i="61"/>
  <c r="BB44" i="61"/>
  <c r="BC44" i="61"/>
  <c r="BD44" i="61"/>
  <c r="AX45" i="61"/>
  <c r="AY45" i="61"/>
  <c r="AZ45" i="61"/>
  <c r="BA45" i="61"/>
  <c r="BB45" i="61"/>
  <c r="BC45" i="61"/>
  <c r="BD45" i="61"/>
  <c r="AX46" i="61"/>
  <c r="AY46" i="61"/>
  <c r="AZ46" i="61"/>
  <c r="BA46" i="61"/>
  <c r="BB46" i="61"/>
  <c r="BC46" i="61"/>
  <c r="BD46" i="61"/>
  <c r="AX47" i="61"/>
  <c r="AY47" i="61"/>
  <c r="AZ47" i="61"/>
  <c r="BA47" i="61"/>
  <c r="BB47" i="61"/>
  <c r="BC47" i="61"/>
  <c r="BD47" i="61"/>
  <c r="AX48" i="61"/>
  <c r="AY48" i="61"/>
  <c r="AZ48" i="61"/>
  <c r="BA48" i="61"/>
  <c r="BB48" i="61"/>
  <c r="BC48" i="61"/>
  <c r="BD48" i="61"/>
  <c r="AX49" i="61"/>
  <c r="AY49" i="61"/>
  <c r="AZ49" i="61"/>
  <c r="BA49" i="61"/>
  <c r="BB49" i="61"/>
  <c r="BC49" i="61"/>
  <c r="BD49" i="61"/>
  <c r="AX50" i="61"/>
  <c r="AY50" i="61"/>
  <c r="AZ50" i="61"/>
  <c r="BA50" i="61"/>
  <c r="BB50" i="61"/>
  <c r="BC50" i="61"/>
  <c r="BD50" i="61"/>
  <c r="AX51" i="61"/>
  <c r="AY51" i="61"/>
  <c r="AZ51" i="61"/>
  <c r="BA51" i="61"/>
  <c r="BB51" i="61"/>
  <c r="BC51" i="61"/>
  <c r="BD51" i="61"/>
  <c r="AX52" i="61"/>
  <c r="AY52" i="61"/>
  <c r="AZ52" i="61"/>
  <c r="BA52" i="61"/>
  <c r="BB52" i="61"/>
  <c r="BC52" i="61"/>
  <c r="BD52" i="61"/>
  <c r="AX53" i="61"/>
  <c r="AY53" i="61"/>
  <c r="AZ53" i="61"/>
  <c r="BA53" i="61"/>
  <c r="BB53" i="61"/>
  <c r="BC53" i="61"/>
  <c r="BD53" i="61"/>
  <c r="AX54" i="61"/>
  <c r="AY54" i="61"/>
  <c r="AZ54" i="61"/>
  <c r="BA54" i="61"/>
  <c r="BB54" i="61"/>
  <c r="BC54" i="61"/>
  <c r="BD54" i="61"/>
  <c r="AX55" i="61"/>
  <c r="AY55" i="61"/>
  <c r="AZ55" i="61"/>
  <c r="BA55" i="61"/>
  <c r="BB55" i="61"/>
  <c r="BC55" i="61"/>
  <c r="BD55" i="61"/>
  <c r="AX56" i="61"/>
  <c r="AY56" i="61"/>
  <c r="AZ56" i="61"/>
  <c r="BA56" i="61"/>
  <c r="BB56" i="61"/>
  <c r="BC56" i="61"/>
  <c r="BD56" i="61"/>
  <c r="AX57" i="61"/>
  <c r="AY57" i="61"/>
  <c r="AZ57" i="61"/>
  <c r="BA57" i="61"/>
  <c r="BB57" i="61"/>
  <c r="BC57" i="61"/>
  <c r="BD57" i="61"/>
  <c r="AX58" i="61"/>
  <c r="AY58" i="61"/>
  <c r="AZ58" i="61"/>
  <c r="BA58" i="61"/>
  <c r="BB58" i="61"/>
  <c r="BC58" i="61"/>
  <c r="BD58" i="61"/>
  <c r="AX59" i="61"/>
  <c r="AY59" i="61"/>
  <c r="AZ59" i="61"/>
  <c r="BA59" i="61"/>
  <c r="BB59" i="61"/>
  <c r="BC59" i="61"/>
  <c r="BD59" i="61"/>
  <c r="AX60" i="61"/>
  <c r="AY60" i="61"/>
  <c r="AZ60" i="61"/>
  <c r="BA60" i="61"/>
  <c r="BB60" i="61"/>
  <c r="BC60" i="61"/>
  <c r="BD60" i="61"/>
  <c r="AX61" i="61"/>
  <c r="AY61" i="61"/>
  <c r="AZ61" i="61"/>
  <c r="BA61" i="61"/>
  <c r="BB61" i="61"/>
  <c r="BC61" i="61"/>
  <c r="BD61" i="61"/>
  <c r="AX62" i="61"/>
  <c r="AY62" i="61"/>
  <c r="AZ62" i="61"/>
  <c r="BA62" i="61"/>
  <c r="BB62" i="61"/>
  <c r="BC62" i="61"/>
  <c r="BD62" i="61"/>
  <c r="AX63" i="61"/>
  <c r="AY63" i="61"/>
  <c r="AZ63" i="61"/>
  <c r="BA63" i="61"/>
  <c r="BB63" i="61"/>
  <c r="BC63" i="61"/>
  <c r="BD63" i="61"/>
  <c r="AX64" i="61"/>
  <c r="AY64" i="61"/>
  <c r="AZ64" i="61"/>
  <c r="BA64" i="61"/>
  <c r="BB64" i="61"/>
  <c r="BC64" i="61"/>
  <c r="BD64" i="61"/>
  <c r="AX65" i="61"/>
  <c r="AY65" i="61"/>
  <c r="AZ65" i="61"/>
  <c r="BA65" i="61"/>
  <c r="BB65" i="61"/>
  <c r="BC65" i="61"/>
  <c r="BD65" i="61"/>
  <c r="AX66" i="61"/>
  <c r="AY66" i="61"/>
  <c r="AZ66" i="61"/>
  <c r="BA66" i="61"/>
  <c r="BB66" i="61"/>
  <c r="BC66" i="61"/>
  <c r="BD66" i="61"/>
  <c r="AX67" i="61"/>
  <c r="AY67" i="61"/>
  <c r="AZ67" i="61"/>
  <c r="BA67" i="61"/>
  <c r="BB67" i="61"/>
  <c r="BC67" i="61"/>
  <c r="BD67" i="61"/>
  <c r="AX68" i="61"/>
  <c r="AY68" i="61"/>
  <c r="AZ68" i="61"/>
  <c r="BA68" i="61"/>
  <c r="BB68" i="61"/>
  <c r="BC68" i="61"/>
  <c r="BD68" i="61"/>
  <c r="AX69" i="61"/>
  <c r="AY69" i="61"/>
  <c r="AZ69" i="61"/>
  <c r="BA69" i="61"/>
  <c r="BB69" i="61"/>
  <c r="BC69" i="61"/>
  <c r="BD69" i="61"/>
  <c r="AX70" i="61"/>
  <c r="AY70" i="61"/>
  <c r="AZ70" i="61"/>
  <c r="BA70" i="61"/>
  <c r="BB70" i="61"/>
  <c r="BC70" i="61"/>
  <c r="BD70" i="61"/>
  <c r="AX71" i="61"/>
  <c r="AY71" i="61"/>
  <c r="AZ71" i="61"/>
  <c r="BA71" i="61"/>
  <c r="BB71" i="61"/>
  <c r="BC71" i="61"/>
  <c r="BD71" i="61"/>
  <c r="AX72" i="61"/>
  <c r="AY72" i="61"/>
  <c r="AZ72" i="61"/>
  <c r="BA72" i="61"/>
  <c r="BB72" i="61"/>
  <c r="BC72" i="61"/>
  <c r="BD72" i="61"/>
  <c r="AX73" i="61"/>
  <c r="AY73" i="61"/>
  <c r="AZ73" i="61"/>
  <c r="BA73" i="61"/>
  <c r="BB73" i="61"/>
  <c r="BC73" i="61"/>
  <c r="BD73" i="61"/>
  <c r="AX74" i="61"/>
  <c r="AY74" i="61"/>
  <c r="AZ74" i="61"/>
  <c r="BA74" i="61"/>
  <c r="BB74" i="61"/>
  <c r="BC74" i="61"/>
  <c r="BD74" i="61"/>
  <c r="AX75" i="61"/>
  <c r="AY75" i="61"/>
  <c r="AZ75" i="61"/>
  <c r="BA75" i="61"/>
  <c r="BB75" i="61"/>
  <c r="BC75" i="61"/>
  <c r="BD75" i="61"/>
  <c r="AX76" i="61"/>
  <c r="AY76" i="61"/>
  <c r="AZ76" i="61"/>
  <c r="BA76" i="61"/>
  <c r="BB76" i="61"/>
  <c r="BC76" i="61"/>
  <c r="BD76" i="61"/>
  <c r="AX77" i="61"/>
  <c r="AY77" i="61"/>
  <c r="AZ77" i="61"/>
  <c r="BA77" i="61"/>
  <c r="BB77" i="61"/>
  <c r="BC77" i="61"/>
  <c r="BD77" i="61"/>
  <c r="AX78" i="61"/>
  <c r="AY78" i="61"/>
  <c r="AZ78" i="61"/>
  <c r="BA78" i="61"/>
  <c r="BB78" i="61"/>
  <c r="BC78" i="61"/>
  <c r="BD78" i="61"/>
  <c r="AX79" i="61"/>
  <c r="AY79" i="61"/>
  <c r="AZ79" i="61"/>
  <c r="BA79" i="61"/>
  <c r="BB79" i="61"/>
  <c r="BC79" i="61"/>
  <c r="BD79" i="61"/>
  <c r="AX80" i="61"/>
  <c r="AY80" i="61"/>
  <c r="AZ80" i="61"/>
  <c r="BA80" i="61"/>
  <c r="BB80" i="61"/>
  <c r="BC80" i="61"/>
  <c r="BD80" i="61"/>
  <c r="AX81" i="61"/>
  <c r="AY81" i="61"/>
  <c r="AZ81" i="61"/>
  <c r="BA81" i="61"/>
  <c r="BB81" i="61"/>
  <c r="BC81" i="61"/>
  <c r="BD81" i="61"/>
  <c r="AX82" i="61"/>
  <c r="AY82" i="61"/>
  <c r="AZ82" i="61"/>
  <c r="BA82" i="61"/>
  <c r="BB82" i="61"/>
  <c r="BC82" i="61"/>
  <c r="BD82" i="61"/>
  <c r="AX83" i="61"/>
  <c r="AY83" i="61"/>
  <c r="AZ83" i="61"/>
  <c r="BA83" i="61"/>
  <c r="BB83" i="61"/>
  <c r="BC83" i="61"/>
  <c r="BD83" i="61"/>
  <c r="AX84" i="61"/>
  <c r="AY84" i="61"/>
  <c r="AZ84" i="61"/>
  <c r="BA84" i="61"/>
  <c r="BB84" i="61"/>
  <c r="BC84" i="61"/>
  <c r="BD84" i="61"/>
  <c r="AX85" i="61"/>
  <c r="AY85" i="61"/>
  <c r="AZ85" i="61"/>
  <c r="BA85" i="61"/>
  <c r="BB85" i="61"/>
  <c r="BC85" i="61"/>
  <c r="BD85" i="61"/>
  <c r="AX86" i="61"/>
  <c r="AY86" i="61"/>
  <c r="AZ86" i="61"/>
  <c r="BA86" i="61"/>
  <c r="BB86" i="61"/>
  <c r="BC86" i="61"/>
  <c r="BD86" i="61"/>
  <c r="AX87" i="61"/>
  <c r="AY87" i="61"/>
  <c r="AZ87" i="61"/>
  <c r="BA87" i="61"/>
  <c r="BB87" i="61"/>
  <c r="BC87" i="61"/>
  <c r="BD87" i="61"/>
  <c r="AX88" i="61"/>
  <c r="AY88" i="61"/>
  <c r="AZ88" i="61"/>
  <c r="BA88" i="61"/>
  <c r="BB88" i="61"/>
  <c r="BC88" i="61"/>
  <c r="BD88" i="61"/>
  <c r="AX89" i="61"/>
  <c r="AY89" i="61"/>
  <c r="AZ89" i="61"/>
  <c r="BA89" i="61"/>
  <c r="BB89" i="61"/>
  <c r="BC89" i="61"/>
  <c r="BD89" i="61"/>
  <c r="AX90" i="61"/>
  <c r="AY90" i="61"/>
  <c r="AZ90" i="61"/>
  <c r="BA90" i="61"/>
  <c r="BB90" i="61"/>
  <c r="BC90" i="61"/>
  <c r="BD90" i="61"/>
  <c r="AX91" i="61"/>
  <c r="AY91" i="61"/>
  <c r="AZ91" i="61"/>
  <c r="BA91" i="61"/>
  <c r="BB91" i="61"/>
  <c r="BC91" i="61"/>
  <c r="BD91" i="61"/>
  <c r="AX92" i="61"/>
  <c r="AY92" i="61"/>
  <c r="AZ92" i="61"/>
  <c r="BA92" i="61"/>
  <c r="BB92" i="61"/>
  <c r="BC92" i="61"/>
  <c r="BD92" i="61"/>
  <c r="AX93" i="61"/>
  <c r="AY93" i="61"/>
  <c r="AZ93" i="61"/>
  <c r="BA93" i="61"/>
  <c r="BB93" i="61"/>
  <c r="BC93" i="61"/>
  <c r="BD93" i="61"/>
  <c r="AX94" i="61"/>
  <c r="AY94" i="61"/>
  <c r="AZ94" i="61"/>
  <c r="BA94" i="61"/>
  <c r="BB94" i="61"/>
  <c r="BC94" i="61"/>
  <c r="BD94" i="61"/>
  <c r="AX95" i="61"/>
  <c r="AY95" i="61"/>
  <c r="AZ95" i="61"/>
  <c r="BA95" i="61"/>
  <c r="BB95" i="61"/>
  <c r="BC95" i="61"/>
  <c r="BD95" i="61"/>
  <c r="AX96" i="61"/>
  <c r="AY96" i="61"/>
  <c r="AZ96" i="61"/>
  <c r="BA96" i="61"/>
  <c r="BB96" i="61"/>
  <c r="BC96" i="61"/>
  <c r="BD96" i="61"/>
  <c r="AX97" i="61"/>
  <c r="AY97" i="61"/>
  <c r="AZ97" i="61"/>
  <c r="BA97" i="61"/>
  <c r="BB97" i="61"/>
  <c r="BC97" i="61"/>
  <c r="BD97" i="61"/>
  <c r="AX98" i="61"/>
  <c r="AY98" i="61"/>
  <c r="AZ98" i="61"/>
  <c r="BA98" i="61"/>
  <c r="BB98" i="61"/>
  <c r="BC98" i="61"/>
  <c r="BD98" i="61"/>
  <c r="AX99" i="61"/>
  <c r="AY99" i="61"/>
  <c r="AZ99" i="61"/>
  <c r="BA99" i="61"/>
  <c r="BB99" i="61"/>
  <c r="BC99" i="61"/>
  <c r="BD99" i="61"/>
  <c r="AX100" i="61"/>
  <c r="AY100" i="61"/>
  <c r="AZ100" i="61"/>
  <c r="BA100" i="61"/>
  <c r="BB100" i="61"/>
  <c r="BC100" i="61"/>
  <c r="BD100" i="61"/>
  <c r="AX101" i="61"/>
  <c r="AY101" i="61"/>
  <c r="AZ101" i="61"/>
  <c r="BA101" i="61"/>
  <c r="BB101" i="61"/>
  <c r="BC101" i="61"/>
  <c r="BD101" i="61"/>
  <c r="AX102" i="61"/>
  <c r="AY102" i="61"/>
  <c r="AZ102" i="61"/>
  <c r="BA102" i="61"/>
  <c r="BB102" i="61"/>
  <c r="BC102" i="61"/>
  <c r="BD102" i="61"/>
  <c r="AX103" i="61"/>
  <c r="AY103" i="61"/>
  <c r="AZ103" i="61"/>
  <c r="BA103" i="61"/>
  <c r="BB103" i="61"/>
  <c r="BC103" i="61"/>
  <c r="BD103" i="61"/>
  <c r="AX104" i="61"/>
  <c r="AY104" i="61"/>
  <c r="AZ104" i="61"/>
  <c r="BA104" i="61"/>
  <c r="BB104" i="61"/>
  <c r="BC104" i="61"/>
  <c r="BD104" i="61"/>
  <c r="AX105" i="61"/>
  <c r="AY105" i="61"/>
  <c r="AZ105" i="61"/>
  <c r="BA105" i="61"/>
  <c r="BB105" i="61"/>
  <c r="BC105" i="61"/>
  <c r="BD105" i="61"/>
  <c r="AX106" i="61"/>
  <c r="AY106" i="61"/>
  <c r="AZ106" i="61"/>
  <c r="BA106" i="61"/>
  <c r="BB106" i="61"/>
  <c r="BC106" i="61"/>
  <c r="BD106" i="61"/>
  <c r="AX107" i="61"/>
  <c r="AY107" i="61"/>
  <c r="AZ107" i="61"/>
  <c r="BA107" i="61"/>
  <c r="BB107" i="61"/>
  <c r="BC107" i="61"/>
  <c r="BD107" i="61"/>
  <c r="AX108" i="61"/>
  <c r="AY108" i="61"/>
  <c r="AZ108" i="61"/>
  <c r="BA108" i="61"/>
  <c r="BB108" i="61"/>
  <c r="BC108" i="61"/>
  <c r="BD108" i="61"/>
  <c r="AX109" i="61"/>
  <c r="AY109" i="61"/>
  <c r="AZ109" i="61"/>
  <c r="BA109" i="61"/>
  <c r="BB109" i="61"/>
  <c r="BC109" i="61"/>
  <c r="BD109" i="61"/>
  <c r="AX110" i="61"/>
  <c r="AY110" i="61"/>
  <c r="AZ110" i="61"/>
  <c r="BA110" i="61"/>
  <c r="BB110" i="61"/>
  <c r="BC110" i="61"/>
  <c r="BD110" i="61"/>
  <c r="AX111" i="61"/>
  <c r="AY111" i="61"/>
  <c r="AZ111" i="61"/>
  <c r="BA111" i="61"/>
  <c r="BB111" i="61"/>
  <c r="BC111" i="61"/>
  <c r="BD111" i="61"/>
  <c r="AX112" i="61"/>
  <c r="AY112" i="61"/>
  <c r="AZ112" i="61"/>
  <c r="BA112" i="61"/>
  <c r="BB112" i="61"/>
  <c r="BC112" i="61"/>
  <c r="BD112" i="61"/>
  <c r="AX113" i="61"/>
  <c r="AY113" i="61"/>
  <c r="AZ113" i="61"/>
  <c r="BA113" i="61"/>
  <c r="BB113" i="61"/>
  <c r="BC113" i="61"/>
  <c r="BD113" i="61"/>
  <c r="AX114" i="61"/>
  <c r="AY114" i="61"/>
  <c r="AZ114" i="61"/>
  <c r="BA114" i="61"/>
  <c r="BB114" i="61"/>
  <c r="BC114" i="61"/>
  <c r="BD114" i="61"/>
  <c r="AX115" i="61"/>
  <c r="AY115" i="61"/>
  <c r="AZ115" i="61"/>
  <c r="BA115" i="61"/>
  <c r="BB115" i="61"/>
  <c r="BC115" i="61"/>
  <c r="BD115" i="61"/>
  <c r="AX116" i="61"/>
  <c r="AY116" i="61"/>
  <c r="AZ116" i="61"/>
  <c r="BA116" i="61"/>
  <c r="BB116" i="61"/>
  <c r="BC116" i="61"/>
  <c r="BD116" i="61"/>
  <c r="AX117" i="61"/>
  <c r="AY117" i="61"/>
  <c r="AZ117" i="61"/>
  <c r="BA117" i="61"/>
  <c r="BB117" i="61"/>
  <c r="BC117" i="61"/>
  <c r="BD117" i="61"/>
  <c r="AX118" i="61"/>
  <c r="AY118" i="61"/>
  <c r="AZ118" i="61"/>
  <c r="BA118" i="61"/>
  <c r="BB118" i="61"/>
  <c r="BC118" i="61"/>
  <c r="BD118" i="61"/>
  <c r="AX119" i="61"/>
  <c r="AY119" i="61"/>
  <c r="AZ119" i="61"/>
  <c r="BA119" i="61"/>
  <c r="BB119" i="61"/>
  <c r="BC119" i="61"/>
  <c r="BD119" i="61"/>
  <c r="AX120" i="61"/>
  <c r="AY120" i="61"/>
  <c r="AZ120" i="61"/>
  <c r="BA120" i="61"/>
  <c r="BB120" i="61"/>
  <c r="BC120" i="61"/>
  <c r="BD120" i="61"/>
  <c r="AX121" i="61"/>
  <c r="AY121" i="61"/>
  <c r="AZ121" i="61"/>
  <c r="BA121" i="61"/>
  <c r="BB121" i="61"/>
  <c r="BC121" i="61"/>
  <c r="BD121" i="61"/>
  <c r="AX122" i="61"/>
  <c r="AY122" i="61"/>
  <c r="AZ122" i="61"/>
  <c r="BA122" i="61"/>
  <c r="BB122" i="61"/>
  <c r="BC122" i="61"/>
  <c r="BD122" i="61"/>
  <c r="AX123" i="61"/>
  <c r="AY123" i="61"/>
  <c r="AZ123" i="61"/>
  <c r="BA123" i="61"/>
  <c r="BB123" i="61"/>
  <c r="BC123" i="61"/>
  <c r="BD123" i="61"/>
  <c r="AX124" i="61"/>
  <c r="AY124" i="61"/>
  <c r="AZ124" i="61"/>
  <c r="BA124" i="61"/>
  <c r="BB124" i="61"/>
  <c r="BC124" i="61"/>
  <c r="BD124" i="61"/>
  <c r="AX125" i="61"/>
  <c r="AY125" i="61"/>
  <c r="AZ125" i="61"/>
  <c r="BA125" i="61"/>
  <c r="BB125" i="61"/>
  <c r="BC125" i="61"/>
  <c r="BD125" i="61"/>
  <c r="AX126" i="61"/>
  <c r="AY126" i="61"/>
  <c r="AZ126" i="61"/>
  <c r="BA126" i="61"/>
  <c r="BB126" i="61"/>
  <c r="BC126" i="61"/>
  <c r="BD126" i="61"/>
  <c r="AX127" i="61"/>
  <c r="AY127" i="61"/>
  <c r="AZ127" i="61"/>
  <c r="BA127" i="61"/>
  <c r="BB127" i="61"/>
  <c r="BC127" i="61"/>
  <c r="BD127" i="61"/>
  <c r="AX128" i="61"/>
  <c r="AY128" i="61"/>
  <c r="AZ128" i="61"/>
  <c r="BA128" i="61"/>
  <c r="BB128" i="61"/>
  <c r="BC128" i="61"/>
  <c r="BD128" i="61"/>
  <c r="AX129" i="61"/>
  <c r="AY129" i="61"/>
  <c r="AZ129" i="61"/>
  <c r="BA129" i="61"/>
  <c r="BB129" i="61"/>
  <c r="BC129" i="61"/>
  <c r="BD129" i="61"/>
  <c r="AX130" i="61"/>
  <c r="AY130" i="61"/>
  <c r="AZ130" i="61"/>
  <c r="BA130" i="61"/>
  <c r="BB130" i="61"/>
  <c r="BC130" i="61"/>
  <c r="BD130" i="61"/>
  <c r="AX131" i="61"/>
  <c r="AY131" i="61"/>
  <c r="AZ131" i="61"/>
  <c r="BA131" i="61"/>
  <c r="BB131" i="61"/>
  <c r="BC131" i="61"/>
  <c r="BD131" i="61"/>
  <c r="AX132" i="61"/>
  <c r="AY132" i="61"/>
  <c r="AZ132" i="61"/>
  <c r="BA132" i="61"/>
  <c r="BB132" i="61"/>
  <c r="BC132" i="61"/>
  <c r="BD132" i="61"/>
  <c r="AX133" i="61"/>
  <c r="AY133" i="61"/>
  <c r="AZ133" i="61"/>
  <c r="BA133" i="61"/>
  <c r="BB133" i="61"/>
  <c r="BC133" i="61"/>
  <c r="BD133" i="61"/>
  <c r="AX134" i="61"/>
  <c r="AY134" i="61"/>
  <c r="AZ134" i="61"/>
  <c r="BA134" i="61"/>
  <c r="BB134" i="61"/>
  <c r="BC134" i="61"/>
  <c r="BD134" i="61"/>
  <c r="AX135" i="61"/>
  <c r="AY135" i="61"/>
  <c r="AZ135" i="61"/>
  <c r="BA135" i="61"/>
  <c r="BB135" i="61"/>
  <c r="BC135" i="61"/>
  <c r="BD135" i="61"/>
  <c r="AX136" i="61"/>
  <c r="AY136" i="61"/>
  <c r="AZ136" i="61"/>
  <c r="BA136" i="61"/>
  <c r="BB136" i="61"/>
  <c r="BC136" i="61"/>
  <c r="BD136" i="61"/>
  <c r="AX137" i="61"/>
  <c r="AY137" i="61"/>
  <c r="AZ137" i="61"/>
  <c r="BA137" i="61"/>
  <c r="BB137" i="61"/>
  <c r="BC137" i="61"/>
  <c r="BD137" i="61"/>
  <c r="AX138" i="61"/>
  <c r="AY138" i="61"/>
  <c r="AZ138" i="61"/>
  <c r="BA138" i="61"/>
  <c r="BB138" i="61"/>
  <c r="BC138" i="61"/>
  <c r="BD138" i="61"/>
  <c r="AX139" i="61"/>
  <c r="AY139" i="61"/>
  <c r="AZ139" i="61"/>
  <c r="BA139" i="61"/>
  <c r="BB139" i="61"/>
  <c r="BC139" i="61"/>
  <c r="BD139" i="61"/>
  <c r="AX140" i="61"/>
  <c r="AY140" i="61"/>
  <c r="AZ140" i="61"/>
  <c r="BA140" i="61"/>
  <c r="BB140" i="61"/>
  <c r="BC140" i="61"/>
  <c r="BD140" i="61"/>
  <c r="AX141" i="61"/>
  <c r="AY141" i="61"/>
  <c r="AZ141" i="61"/>
  <c r="BA141" i="61"/>
  <c r="BB141" i="61"/>
  <c r="BC141" i="61"/>
  <c r="BD141" i="61"/>
  <c r="AX142" i="61"/>
  <c r="AY142" i="61"/>
  <c r="AZ142" i="61"/>
  <c r="BA142" i="61"/>
  <c r="BB142" i="61"/>
  <c r="BC142" i="61"/>
  <c r="BD142" i="61"/>
  <c r="AX143" i="61"/>
  <c r="AY143" i="61"/>
  <c r="AZ143" i="61"/>
  <c r="BA143" i="61"/>
  <c r="BB143" i="61"/>
  <c r="BC143" i="61"/>
  <c r="BD143" i="61"/>
  <c r="AX144" i="61"/>
  <c r="AY144" i="61"/>
  <c r="AZ144" i="61"/>
  <c r="BA144" i="61"/>
  <c r="BB144" i="61"/>
  <c r="BC144" i="61"/>
  <c r="BD144" i="61"/>
  <c r="AX145" i="61"/>
  <c r="AY145" i="61"/>
  <c r="AZ145" i="61"/>
  <c r="BA145" i="61"/>
  <c r="BB145" i="61"/>
  <c r="BC145" i="61"/>
  <c r="BD145" i="61"/>
  <c r="AX146" i="61"/>
  <c r="AY146" i="61"/>
  <c r="AZ146" i="61"/>
  <c r="BA146" i="61"/>
  <c r="BB146" i="61"/>
  <c r="BC146" i="61"/>
  <c r="BD146" i="61"/>
  <c r="AX147" i="61"/>
  <c r="AY147" i="61"/>
  <c r="AZ147" i="61"/>
  <c r="BA147" i="61"/>
  <c r="BB147" i="61"/>
  <c r="BC147" i="61"/>
  <c r="BD147" i="61"/>
  <c r="AX148" i="61"/>
  <c r="AY148" i="61"/>
  <c r="AZ148" i="61"/>
  <c r="BA148" i="61"/>
  <c r="BB148" i="61"/>
  <c r="BC148" i="61"/>
  <c r="BD148" i="61"/>
  <c r="AX149" i="61"/>
  <c r="AY149" i="61"/>
  <c r="AZ149" i="61"/>
  <c r="BA149" i="61"/>
  <c r="BB149" i="61"/>
  <c r="BC149" i="61"/>
  <c r="BD149" i="61"/>
  <c r="AX150" i="61"/>
  <c r="AY150" i="61"/>
  <c r="AZ150" i="61"/>
  <c r="BA150" i="61"/>
  <c r="BB150" i="61"/>
  <c r="BC150" i="61"/>
  <c r="BD150" i="61"/>
  <c r="AX151" i="61"/>
  <c r="AY151" i="61"/>
  <c r="AZ151" i="61"/>
  <c r="BA151" i="61"/>
  <c r="BB151" i="61"/>
  <c r="BC151" i="61"/>
  <c r="BD151" i="61"/>
  <c r="AX152" i="61"/>
  <c r="AY152" i="61"/>
  <c r="AZ152" i="61"/>
  <c r="BA152" i="61"/>
  <c r="BB152" i="61"/>
  <c r="BC152" i="61"/>
  <c r="BD152" i="61"/>
  <c r="AX153" i="61"/>
  <c r="AY153" i="61"/>
  <c r="AZ153" i="61"/>
  <c r="BA153" i="61"/>
  <c r="BB153" i="61"/>
  <c r="BC153" i="61"/>
  <c r="BD153" i="61"/>
  <c r="AX154" i="61"/>
  <c r="AY154" i="61"/>
  <c r="AZ154" i="61"/>
  <c r="BA154" i="61"/>
  <c r="BB154" i="61"/>
  <c r="BC154" i="61"/>
  <c r="BD154" i="61"/>
  <c r="AX155" i="61"/>
  <c r="AY155" i="61"/>
  <c r="AZ155" i="61"/>
  <c r="BA155" i="61"/>
  <c r="BB155" i="61"/>
  <c r="BC155" i="61"/>
  <c r="BD155" i="61"/>
  <c r="AX156" i="61"/>
  <c r="AY156" i="61"/>
  <c r="AZ156" i="61"/>
  <c r="BA156" i="61"/>
  <c r="BB156" i="61"/>
  <c r="BC156" i="61"/>
  <c r="BD156" i="61"/>
  <c r="AX157" i="61"/>
  <c r="AY157" i="61"/>
  <c r="AZ157" i="61"/>
  <c r="BA157" i="61"/>
  <c r="BB157" i="61"/>
  <c r="BC157" i="61"/>
  <c r="BD157" i="61"/>
  <c r="AX158" i="61"/>
  <c r="AY158" i="61"/>
  <c r="AZ158" i="61"/>
  <c r="BA158" i="61"/>
  <c r="BB158" i="61"/>
  <c r="BC158" i="61"/>
  <c r="BD158" i="61"/>
  <c r="AX159" i="61"/>
  <c r="AY159" i="61"/>
  <c r="AZ159" i="61"/>
  <c r="BA159" i="61"/>
  <c r="BB159" i="61"/>
  <c r="BC159" i="61"/>
  <c r="BD159" i="61"/>
  <c r="AX160" i="61"/>
  <c r="AY160" i="61"/>
  <c r="AZ160" i="61"/>
  <c r="BA160" i="61"/>
  <c r="BB160" i="61"/>
  <c r="BC160" i="61"/>
  <c r="BD160" i="61"/>
  <c r="AX161" i="61"/>
  <c r="AY161" i="61"/>
  <c r="AZ161" i="61"/>
  <c r="BA161" i="61"/>
  <c r="BB161" i="61"/>
  <c r="BC161" i="61"/>
  <c r="BD161" i="61"/>
  <c r="AX162" i="61"/>
  <c r="AY162" i="61"/>
  <c r="AZ162" i="61"/>
  <c r="BA162" i="61"/>
  <c r="BB162" i="61"/>
  <c r="BC162" i="61"/>
  <c r="BD162" i="61"/>
  <c r="AX163" i="61"/>
  <c r="AY163" i="61"/>
  <c r="AZ163" i="61"/>
  <c r="BA163" i="61"/>
  <c r="BB163" i="61"/>
  <c r="BC163" i="61"/>
  <c r="BD163" i="61"/>
  <c r="AX164" i="61"/>
  <c r="AY164" i="61"/>
  <c r="AZ164" i="61"/>
  <c r="BA164" i="61"/>
  <c r="BB164" i="61"/>
  <c r="BC164" i="61"/>
  <c r="BD164" i="61"/>
  <c r="AX165" i="61"/>
  <c r="AY165" i="61"/>
  <c r="AZ165" i="61"/>
  <c r="BA165" i="61"/>
  <c r="BB165" i="61"/>
  <c r="BC165" i="61"/>
  <c r="BD165" i="61"/>
  <c r="AX166" i="61"/>
  <c r="AY166" i="61"/>
  <c r="AZ166" i="61"/>
  <c r="BA166" i="61"/>
  <c r="BB166" i="61"/>
  <c r="BC166" i="61"/>
  <c r="BD166" i="61"/>
  <c r="AX167" i="61"/>
  <c r="AY167" i="61"/>
  <c r="AZ167" i="61"/>
  <c r="BA167" i="61"/>
  <c r="BB167" i="61"/>
  <c r="BC167" i="61"/>
  <c r="BD167" i="61"/>
  <c r="AX168" i="61"/>
  <c r="AY168" i="61"/>
  <c r="AZ168" i="61"/>
  <c r="BA168" i="61"/>
  <c r="BB168" i="61"/>
  <c r="BC168" i="61"/>
  <c r="BD168" i="61"/>
  <c r="AX169" i="61"/>
  <c r="AY169" i="61"/>
  <c r="AZ169" i="61"/>
  <c r="BA169" i="61"/>
  <c r="BB169" i="61"/>
  <c r="BC169" i="61"/>
  <c r="BD169" i="61"/>
  <c r="AX170" i="61"/>
  <c r="AY170" i="61"/>
  <c r="AZ170" i="61"/>
  <c r="BA170" i="61"/>
  <c r="BB170" i="61"/>
  <c r="BC170" i="61"/>
  <c r="BD170" i="61"/>
  <c r="AX171" i="61"/>
  <c r="AY171" i="61"/>
  <c r="AZ171" i="61"/>
  <c r="BA171" i="61"/>
  <c r="BB171" i="61"/>
  <c r="BC171" i="61"/>
  <c r="BD171" i="61"/>
  <c r="AX172" i="61"/>
  <c r="AY172" i="61"/>
  <c r="AZ172" i="61"/>
  <c r="BA172" i="61"/>
  <c r="BB172" i="61"/>
  <c r="BC172" i="61"/>
  <c r="BD172" i="61"/>
  <c r="AX173" i="61"/>
  <c r="AY173" i="61"/>
  <c r="AZ173" i="61"/>
  <c r="BA173" i="61"/>
  <c r="BB173" i="61"/>
  <c r="BC173" i="61"/>
  <c r="BD173" i="61"/>
  <c r="AX174" i="61"/>
  <c r="AY174" i="61"/>
  <c r="AZ174" i="61"/>
  <c r="BA174" i="61"/>
  <c r="BB174" i="61"/>
  <c r="BC174" i="61"/>
  <c r="BD174" i="61"/>
  <c r="AX175" i="61"/>
  <c r="AY175" i="61"/>
  <c r="AZ175" i="61"/>
  <c r="BA175" i="61"/>
  <c r="BB175" i="61"/>
  <c r="BC175" i="61"/>
  <c r="BD175" i="61"/>
  <c r="AX176" i="61"/>
  <c r="AY176" i="61"/>
  <c r="AZ176" i="61"/>
  <c r="BA176" i="61"/>
  <c r="BB176" i="61"/>
  <c r="BC176" i="61"/>
  <c r="BD176" i="61"/>
  <c r="AX177" i="61"/>
  <c r="AY177" i="61"/>
  <c r="AZ177" i="61"/>
  <c r="BA177" i="61"/>
  <c r="BB177" i="61"/>
  <c r="BC177" i="61"/>
  <c r="BD177" i="61"/>
  <c r="AX178" i="61"/>
  <c r="AY178" i="61"/>
  <c r="AZ178" i="61"/>
  <c r="BA178" i="61"/>
  <c r="BB178" i="61"/>
  <c r="BC178" i="61"/>
  <c r="BD178" i="61"/>
  <c r="AX179" i="61"/>
  <c r="AY179" i="61"/>
  <c r="AZ179" i="61"/>
  <c r="BA179" i="61"/>
  <c r="BB179" i="61"/>
  <c r="BC179" i="61"/>
  <c r="BD179" i="61"/>
  <c r="AX180" i="61"/>
  <c r="AY180" i="61"/>
  <c r="AZ180" i="61"/>
  <c r="BA180" i="61"/>
  <c r="BB180" i="61"/>
  <c r="BC180" i="61"/>
  <c r="BD180" i="61"/>
  <c r="AX181" i="61"/>
  <c r="AY181" i="61"/>
  <c r="AZ181" i="61"/>
  <c r="BA181" i="61"/>
  <c r="BB181" i="61"/>
  <c r="BC181" i="61"/>
  <c r="BD181" i="61"/>
  <c r="AX182" i="61"/>
  <c r="AY182" i="61"/>
  <c r="AZ182" i="61"/>
  <c r="BA182" i="61"/>
  <c r="BB182" i="61"/>
  <c r="BC182" i="61"/>
  <c r="BD182" i="61"/>
  <c r="AX183" i="61"/>
  <c r="AY183" i="61"/>
  <c r="AZ183" i="61"/>
  <c r="BA183" i="61"/>
  <c r="BB183" i="61"/>
  <c r="BC183" i="61"/>
  <c r="BD183" i="61"/>
  <c r="AX184" i="61"/>
  <c r="AY184" i="61"/>
  <c r="AZ184" i="61"/>
  <c r="BA184" i="61"/>
  <c r="BB184" i="61"/>
  <c r="BC184" i="61"/>
  <c r="BD184" i="61"/>
  <c r="AX185" i="61"/>
  <c r="AY185" i="61"/>
  <c r="AZ185" i="61"/>
  <c r="BA185" i="61"/>
  <c r="BB185" i="61"/>
  <c r="BC185" i="61"/>
  <c r="BD185" i="61"/>
  <c r="AX186" i="61"/>
  <c r="AY186" i="61"/>
  <c r="AZ186" i="61"/>
  <c r="BA186" i="61"/>
  <c r="BB186" i="61"/>
  <c r="BC186" i="61"/>
  <c r="BD186" i="61"/>
  <c r="AX187" i="61"/>
  <c r="AY187" i="61"/>
  <c r="AZ187" i="61"/>
  <c r="BA187" i="61"/>
  <c r="BB187" i="61"/>
  <c r="BC187" i="61"/>
  <c r="BD187" i="61"/>
  <c r="AX188" i="61"/>
  <c r="AY188" i="61"/>
  <c r="AZ188" i="61"/>
  <c r="BA188" i="61"/>
  <c r="BB188" i="61"/>
  <c r="BC188" i="61"/>
  <c r="BD188" i="61"/>
  <c r="AX189" i="61"/>
  <c r="AY189" i="61"/>
  <c r="AZ189" i="61"/>
  <c r="BA189" i="61"/>
  <c r="BB189" i="61"/>
  <c r="BC189" i="61"/>
  <c r="BD189" i="61"/>
  <c r="AX190" i="61"/>
  <c r="AY190" i="61"/>
  <c r="AZ190" i="61"/>
  <c r="BA190" i="61"/>
  <c r="BB190" i="61"/>
  <c r="BC190" i="61"/>
  <c r="BD190" i="61"/>
  <c r="AX191" i="61"/>
  <c r="AY191" i="61"/>
  <c r="AZ191" i="61"/>
  <c r="BA191" i="61"/>
  <c r="BB191" i="61"/>
  <c r="BC191" i="61"/>
  <c r="BD191" i="61"/>
  <c r="AX192" i="61"/>
  <c r="AY192" i="61"/>
  <c r="AZ192" i="61"/>
  <c r="BA192" i="61"/>
  <c r="BB192" i="61"/>
  <c r="BC192" i="61"/>
  <c r="BD192" i="61"/>
  <c r="AX193" i="61"/>
  <c r="AY193" i="61"/>
  <c r="AZ193" i="61"/>
  <c r="BA193" i="61"/>
  <c r="BB193" i="61"/>
  <c r="BC193" i="61"/>
  <c r="BD193" i="61"/>
  <c r="AX194" i="61"/>
  <c r="AY194" i="61"/>
  <c r="AZ194" i="61"/>
  <c r="BA194" i="61"/>
  <c r="BB194" i="61"/>
  <c r="BC194" i="61"/>
  <c r="BD194" i="61"/>
  <c r="AX195" i="61"/>
  <c r="AY195" i="61"/>
  <c r="AZ195" i="61"/>
  <c r="BA195" i="61"/>
  <c r="BB195" i="61"/>
  <c r="BC195" i="61"/>
  <c r="BD195" i="61"/>
  <c r="AX196" i="61"/>
  <c r="AY196" i="61"/>
  <c r="AZ196" i="61"/>
  <c r="BA196" i="61"/>
  <c r="BB196" i="61"/>
  <c r="BC196" i="61"/>
  <c r="BD196" i="61"/>
  <c r="AX197" i="61"/>
  <c r="AY197" i="61"/>
  <c r="AZ197" i="61"/>
  <c r="BA197" i="61"/>
  <c r="BB197" i="61"/>
  <c r="BC197" i="61"/>
  <c r="BD197" i="61"/>
  <c r="AX198" i="61"/>
  <c r="AY198" i="61"/>
  <c r="AZ198" i="61"/>
  <c r="BA198" i="61"/>
  <c r="BB198" i="61"/>
  <c r="BC198" i="61"/>
  <c r="BD198" i="61"/>
  <c r="AX199" i="61"/>
  <c r="AY199" i="61"/>
  <c r="AZ199" i="61"/>
  <c r="BA199" i="61"/>
  <c r="BB199" i="61"/>
  <c r="BC199" i="61"/>
  <c r="BD199" i="61"/>
  <c r="AX200" i="61"/>
  <c r="AY200" i="61"/>
  <c r="AZ200" i="61"/>
  <c r="BA200" i="61"/>
  <c r="BB200" i="61"/>
  <c r="BC200" i="61"/>
  <c r="BD200" i="61"/>
  <c r="AX201" i="61"/>
  <c r="AY201" i="61"/>
  <c r="AZ201" i="61"/>
  <c r="BA201" i="61"/>
  <c r="BB201" i="61"/>
  <c r="BC201" i="61"/>
  <c r="BD201" i="61"/>
  <c r="AX202" i="61"/>
  <c r="AY202" i="61"/>
  <c r="AZ202" i="61"/>
  <c r="BA202" i="61"/>
  <c r="BB202" i="61"/>
  <c r="BC202" i="61"/>
  <c r="BD202" i="61"/>
  <c r="AX203" i="61"/>
  <c r="AY203" i="61"/>
  <c r="AZ203" i="61"/>
  <c r="BA203" i="61"/>
  <c r="BB203" i="61"/>
  <c r="BC203" i="61"/>
  <c r="BD203" i="61"/>
  <c r="AX204" i="61"/>
  <c r="AY204" i="61"/>
  <c r="AZ204" i="61"/>
  <c r="BA204" i="61"/>
  <c r="BB204" i="61"/>
  <c r="BC204" i="61"/>
  <c r="BD204" i="61"/>
  <c r="AX205" i="61"/>
  <c r="AY205" i="61"/>
  <c r="AZ205" i="61"/>
  <c r="BA205" i="61"/>
  <c r="BB205" i="61"/>
  <c r="BC205" i="61"/>
  <c r="BD205" i="61"/>
  <c r="AX206" i="61"/>
  <c r="AY206" i="61"/>
  <c r="AZ206" i="61"/>
  <c r="BA206" i="61"/>
  <c r="BB206" i="61"/>
  <c r="BC206" i="61"/>
  <c r="BD206" i="61"/>
  <c r="AX207" i="61"/>
  <c r="AY207" i="61"/>
  <c r="AZ207" i="61"/>
  <c r="BA207" i="61"/>
  <c r="BB207" i="61"/>
  <c r="BC207" i="61"/>
  <c r="BD207" i="61"/>
  <c r="AX208" i="61"/>
  <c r="AY208" i="61"/>
  <c r="AZ208" i="61"/>
  <c r="BA208" i="61"/>
  <c r="BB208" i="61"/>
  <c r="BC208" i="61"/>
  <c r="BD208" i="61"/>
  <c r="AX209" i="61"/>
  <c r="AY209" i="61"/>
  <c r="AZ209" i="61"/>
  <c r="BA209" i="61"/>
  <c r="BB209" i="61"/>
  <c r="BC209" i="61"/>
  <c r="BD209" i="61"/>
  <c r="AX210" i="61"/>
  <c r="AY210" i="61"/>
  <c r="AZ210" i="61"/>
  <c r="BA210" i="61"/>
  <c r="BB210" i="61"/>
  <c r="BC210" i="61"/>
  <c r="BD210" i="61"/>
  <c r="AX211" i="61"/>
  <c r="AY211" i="61"/>
  <c r="AZ211" i="61"/>
  <c r="BA211" i="61"/>
  <c r="BB211" i="61"/>
  <c r="BC211" i="61"/>
  <c r="BD211" i="61"/>
  <c r="AX212" i="61"/>
  <c r="AY212" i="61"/>
  <c r="AZ212" i="61"/>
  <c r="BA212" i="61"/>
  <c r="BB212" i="61"/>
  <c r="BC212" i="61"/>
  <c r="BD212" i="61"/>
  <c r="AX213" i="61"/>
  <c r="AY213" i="61"/>
  <c r="AZ213" i="61"/>
  <c r="BA213" i="61"/>
  <c r="BB213" i="61"/>
  <c r="BC213" i="61"/>
  <c r="BD213" i="61"/>
  <c r="AX214" i="61"/>
  <c r="AY214" i="61"/>
  <c r="AZ214" i="61"/>
  <c r="BA214" i="61"/>
  <c r="BB214" i="61"/>
  <c r="BC214" i="61"/>
  <c r="BD214" i="61"/>
  <c r="AX215" i="61"/>
  <c r="AY215" i="61"/>
  <c r="AZ215" i="61"/>
  <c r="BA215" i="61"/>
  <c r="BB215" i="61"/>
  <c r="BC215" i="61"/>
  <c r="BD215" i="61"/>
  <c r="AX216" i="61"/>
  <c r="AY216" i="61"/>
  <c r="AZ216" i="61"/>
  <c r="BA216" i="61"/>
  <c r="BB216" i="61"/>
  <c r="BC216" i="61"/>
  <c r="BD216" i="61"/>
  <c r="AX217" i="61"/>
  <c r="AY217" i="61"/>
  <c r="AZ217" i="61"/>
  <c r="BA217" i="61"/>
  <c r="BB217" i="61"/>
  <c r="BC217" i="61"/>
  <c r="BD217" i="61"/>
  <c r="AX218" i="61"/>
  <c r="AY218" i="61"/>
  <c r="AZ218" i="61"/>
  <c r="BA218" i="61"/>
  <c r="BB218" i="61"/>
  <c r="BC218" i="61"/>
  <c r="BD218" i="61"/>
  <c r="AX219" i="61"/>
  <c r="AY219" i="61"/>
  <c r="AZ219" i="61"/>
  <c r="BA219" i="61"/>
  <c r="BB219" i="61"/>
  <c r="BC219" i="61"/>
  <c r="BD219" i="61"/>
  <c r="AX220" i="61"/>
  <c r="AY220" i="61"/>
  <c r="AZ220" i="61"/>
  <c r="BA220" i="61"/>
  <c r="BB220" i="61"/>
  <c r="BC220" i="61"/>
  <c r="BD220" i="61"/>
  <c r="AX221" i="61"/>
  <c r="AY221" i="61"/>
  <c r="AZ221" i="61"/>
  <c r="BA221" i="61"/>
  <c r="BB221" i="61"/>
  <c r="BC221" i="61"/>
  <c r="BD221" i="61"/>
  <c r="AX222" i="61"/>
  <c r="AY222" i="61"/>
  <c r="AZ222" i="61"/>
  <c r="BA222" i="61"/>
  <c r="BB222" i="61"/>
  <c r="BC222" i="61"/>
  <c r="BD222" i="61"/>
  <c r="AX223" i="61"/>
  <c r="AY223" i="61"/>
  <c r="AZ223" i="61"/>
  <c r="BA223" i="61"/>
  <c r="BB223" i="61"/>
  <c r="BC223" i="61"/>
  <c r="BD223" i="61"/>
  <c r="AX224" i="61"/>
  <c r="AY224" i="61"/>
  <c r="AZ224" i="61"/>
  <c r="BA224" i="61"/>
  <c r="BB224" i="61"/>
  <c r="BC224" i="61"/>
  <c r="BD224" i="61"/>
  <c r="AX225" i="61"/>
  <c r="AY225" i="61"/>
  <c r="AZ225" i="61"/>
  <c r="BA225" i="61"/>
  <c r="BB225" i="61"/>
  <c r="BC225" i="61"/>
  <c r="BD225" i="61"/>
  <c r="AX226" i="61"/>
  <c r="AY226" i="61"/>
  <c r="AZ226" i="61"/>
  <c r="BA226" i="61"/>
  <c r="BB226" i="61"/>
  <c r="BC226" i="61"/>
  <c r="BD226" i="61"/>
  <c r="AX227" i="61"/>
  <c r="AY227" i="61"/>
  <c r="AZ227" i="61"/>
  <c r="BA227" i="61"/>
  <c r="BB227" i="61"/>
  <c r="BC227" i="61"/>
  <c r="BD227" i="61"/>
  <c r="AX228" i="61"/>
  <c r="AY228" i="61"/>
  <c r="AZ228" i="61"/>
  <c r="BA228" i="61"/>
  <c r="BB228" i="61"/>
  <c r="BC228" i="61"/>
  <c r="BD228" i="61"/>
  <c r="AX229" i="61"/>
  <c r="AY229" i="61"/>
  <c r="AZ229" i="61"/>
  <c r="BA229" i="61"/>
  <c r="BB229" i="61"/>
  <c r="BC229" i="61"/>
  <c r="BD229" i="61"/>
  <c r="AX230" i="61"/>
  <c r="AY230" i="61"/>
  <c r="AZ230" i="61"/>
  <c r="BA230" i="61"/>
  <c r="BB230" i="61"/>
  <c r="BC230" i="61"/>
  <c r="BD230" i="61"/>
  <c r="AX231" i="61"/>
  <c r="AY231" i="61"/>
  <c r="AZ231" i="61"/>
  <c r="BA231" i="61"/>
  <c r="BB231" i="61"/>
  <c r="BC231" i="61"/>
  <c r="BD231" i="61"/>
  <c r="AX232" i="61"/>
  <c r="AY232" i="61"/>
  <c r="AZ232" i="61"/>
  <c r="BA232" i="61"/>
  <c r="BB232" i="61"/>
  <c r="BC232" i="61"/>
  <c r="BD232" i="61"/>
  <c r="AX233" i="61"/>
  <c r="AY233" i="61"/>
  <c r="AZ233" i="61"/>
  <c r="BA233" i="61"/>
  <c r="BB233" i="61"/>
  <c r="BC233" i="61"/>
  <c r="BD233" i="61"/>
  <c r="AX234" i="61"/>
  <c r="AY234" i="61"/>
  <c r="AZ234" i="61"/>
  <c r="BA234" i="61"/>
  <c r="BB234" i="61"/>
  <c r="BC234" i="61"/>
  <c r="BD234" i="61"/>
  <c r="AX235" i="61"/>
  <c r="AY235" i="61"/>
  <c r="AZ235" i="61"/>
  <c r="BA235" i="61"/>
  <c r="BB235" i="61"/>
  <c r="BC235" i="61"/>
  <c r="BD235" i="61"/>
  <c r="AX236" i="61"/>
  <c r="AY236" i="61"/>
  <c r="AZ236" i="61"/>
  <c r="BA236" i="61"/>
  <c r="BB236" i="61"/>
  <c r="BC236" i="61"/>
  <c r="BD236" i="61"/>
  <c r="AX237" i="61"/>
  <c r="AY237" i="61"/>
  <c r="AZ237" i="61"/>
  <c r="BA237" i="61"/>
  <c r="BB237" i="61"/>
  <c r="BC237" i="61"/>
  <c r="BD237" i="61"/>
  <c r="AX238" i="61"/>
  <c r="AY238" i="61"/>
  <c r="AZ238" i="61"/>
  <c r="BA238" i="61"/>
  <c r="BB238" i="61"/>
  <c r="BC238" i="61"/>
  <c r="BD238" i="61"/>
  <c r="AX239" i="61"/>
  <c r="AY239" i="61"/>
  <c r="AZ239" i="61"/>
  <c r="BA239" i="61"/>
  <c r="BB239" i="61"/>
  <c r="BC239" i="61"/>
  <c r="BD239" i="61"/>
  <c r="AX240" i="61"/>
  <c r="AY240" i="61"/>
  <c r="AZ240" i="61"/>
  <c r="BA240" i="61"/>
  <c r="BB240" i="61"/>
  <c r="BC240" i="61"/>
  <c r="BD240" i="61"/>
  <c r="AX241" i="61"/>
  <c r="AY241" i="61"/>
  <c r="AZ241" i="61"/>
  <c r="BA241" i="61"/>
  <c r="BB241" i="61"/>
  <c r="BC241" i="61"/>
  <c r="BD241" i="61"/>
  <c r="AX242" i="61"/>
  <c r="AY242" i="61"/>
  <c r="AZ242" i="61"/>
  <c r="BA242" i="61"/>
  <c r="BB242" i="61"/>
  <c r="BC242" i="61"/>
  <c r="BD242" i="61"/>
  <c r="AX243" i="61"/>
  <c r="AY243" i="61"/>
  <c r="AZ243" i="61"/>
  <c r="BA243" i="61"/>
  <c r="BB243" i="61"/>
  <c r="BC243" i="61"/>
  <c r="BD243" i="61"/>
  <c r="AX244" i="61"/>
  <c r="AY244" i="61"/>
  <c r="AZ244" i="61"/>
  <c r="BA244" i="61"/>
  <c r="BB244" i="61"/>
  <c r="BC244" i="61"/>
  <c r="BD244" i="61"/>
  <c r="AX245" i="61"/>
  <c r="AY245" i="61"/>
  <c r="AZ245" i="61"/>
  <c r="BA245" i="61"/>
  <c r="BB245" i="61"/>
  <c r="BC245" i="61"/>
  <c r="BD245" i="61"/>
  <c r="AX246" i="61"/>
  <c r="AY246" i="61"/>
  <c r="AZ246" i="61"/>
  <c r="BA246" i="61"/>
  <c r="BB246" i="61"/>
  <c r="BC246" i="61"/>
  <c r="BD246" i="61"/>
  <c r="AX247" i="61"/>
  <c r="AY247" i="61"/>
  <c r="AZ247" i="61"/>
  <c r="BA247" i="61"/>
  <c r="BB247" i="61"/>
  <c r="BC247" i="61"/>
  <c r="BD247" i="61"/>
  <c r="AX248" i="61"/>
  <c r="AY248" i="61"/>
  <c r="AZ248" i="61"/>
  <c r="BA248" i="61"/>
  <c r="BB248" i="61"/>
  <c r="BC248" i="61"/>
  <c r="BD248" i="61"/>
  <c r="AX249" i="61"/>
  <c r="AY249" i="61"/>
  <c r="AZ249" i="61"/>
  <c r="BA249" i="61"/>
  <c r="BB249" i="61"/>
  <c r="BC249" i="61"/>
  <c r="BD249" i="61"/>
  <c r="AX250" i="61"/>
  <c r="AY250" i="61"/>
  <c r="AZ250" i="61"/>
  <c r="BA250" i="61"/>
  <c r="BB250" i="61"/>
  <c r="BC250" i="61"/>
  <c r="BD250" i="61"/>
  <c r="AX251" i="61"/>
  <c r="AY251" i="61"/>
  <c r="AZ251" i="61"/>
  <c r="BA251" i="61"/>
  <c r="BB251" i="61"/>
  <c r="BC251" i="61"/>
  <c r="BD251" i="61"/>
  <c r="AX252" i="61"/>
  <c r="AY252" i="61"/>
  <c r="AZ252" i="61"/>
  <c r="BA252" i="61"/>
  <c r="BB252" i="61"/>
  <c r="BC252" i="61"/>
  <c r="BD252" i="61"/>
  <c r="AX253" i="61"/>
  <c r="AY253" i="61"/>
  <c r="AZ253" i="61"/>
  <c r="BA253" i="61"/>
  <c r="BB253" i="61"/>
  <c r="BC253" i="61"/>
  <c r="BD253" i="61"/>
  <c r="AX254" i="61"/>
  <c r="AY254" i="61"/>
  <c r="AZ254" i="61"/>
  <c r="BA254" i="61"/>
  <c r="BB254" i="61"/>
  <c r="BC254" i="61"/>
  <c r="BD254" i="61"/>
  <c r="AX255" i="61"/>
  <c r="AY255" i="61"/>
  <c r="AZ255" i="61"/>
  <c r="BA255" i="61"/>
  <c r="BB255" i="61"/>
  <c r="BC255" i="61"/>
  <c r="BD255" i="61"/>
  <c r="BD8" i="61"/>
  <c r="AY8" i="61"/>
  <c r="AZ8" i="61"/>
  <c r="BA8" i="61"/>
  <c r="BB8" i="61"/>
  <c r="BC8" i="61"/>
  <c r="AX8" i="61"/>
  <c r="AV255" i="61"/>
  <c r="AV99" i="61"/>
  <c r="AV107" i="61"/>
  <c r="AV115" i="61"/>
  <c r="AV127" i="61"/>
  <c r="AV151" i="61"/>
  <c r="BE195" i="61" l="1"/>
  <c r="BE179" i="61"/>
  <c r="BE163" i="61"/>
  <c r="BE187" i="61"/>
  <c r="BE171" i="61"/>
  <c r="BE147" i="61"/>
  <c r="BE138" i="61"/>
  <c r="BE130" i="61"/>
  <c r="BE122" i="61"/>
  <c r="BE114" i="61"/>
  <c r="BE106" i="61"/>
  <c r="BE98" i="61"/>
  <c r="BE90" i="61"/>
  <c r="BN249" i="61"/>
  <c r="BN241" i="61"/>
  <c r="BN233" i="61"/>
  <c r="BN225" i="61"/>
  <c r="BN217" i="61"/>
  <c r="BN209" i="61"/>
  <c r="BN200" i="61"/>
  <c r="BN192" i="61"/>
  <c r="BN184" i="61"/>
  <c r="BN176" i="61"/>
  <c r="BN168" i="61"/>
  <c r="BN160" i="61"/>
  <c r="BN152" i="61"/>
  <c r="BN144" i="61"/>
  <c r="BN136" i="61"/>
  <c r="BN128" i="61"/>
  <c r="BN57" i="61"/>
  <c r="BN49" i="61"/>
  <c r="BN41" i="61"/>
  <c r="BN33" i="61"/>
  <c r="BN25" i="61"/>
  <c r="BN17" i="61"/>
  <c r="BN9" i="61"/>
  <c r="BE155" i="61"/>
  <c r="BE188" i="61"/>
  <c r="BE198" i="61"/>
  <c r="BE174" i="61"/>
  <c r="BE199" i="61"/>
  <c r="BE191" i="61"/>
  <c r="BE183" i="61"/>
  <c r="BE175" i="61"/>
  <c r="BE167" i="61"/>
  <c r="BE159" i="61"/>
  <c r="BE151" i="61"/>
  <c r="BE143" i="61"/>
  <c r="BE181" i="61"/>
  <c r="BE173" i="61"/>
  <c r="BE158" i="61"/>
  <c r="BE251" i="61"/>
  <c r="BE243" i="61"/>
  <c r="BE235" i="61"/>
  <c r="BE227" i="61"/>
  <c r="BE219" i="61"/>
  <c r="BE211" i="61"/>
  <c r="BE203" i="61"/>
  <c r="BE200" i="61"/>
  <c r="BE192" i="61"/>
  <c r="BE184" i="61"/>
  <c r="BE176" i="61"/>
  <c r="BE168" i="61"/>
  <c r="BE160" i="61"/>
  <c r="BE152" i="61"/>
  <c r="BE144" i="61"/>
  <c r="BE180" i="61"/>
  <c r="BE172" i="61"/>
  <c r="BE156" i="61"/>
  <c r="BE148" i="61"/>
  <c r="BE189" i="61"/>
  <c r="BE165" i="61"/>
  <c r="BE157" i="61"/>
  <c r="BE182" i="61"/>
  <c r="BE150" i="61"/>
  <c r="BE201" i="61"/>
  <c r="BE193" i="61"/>
  <c r="BE185" i="61"/>
  <c r="BE177" i="61"/>
  <c r="BE169" i="61"/>
  <c r="BE161" i="61"/>
  <c r="BE153" i="61"/>
  <c r="BE145" i="61"/>
  <c r="BE196" i="61"/>
  <c r="BE164" i="61"/>
  <c r="BE197" i="61"/>
  <c r="BE149" i="61"/>
  <c r="BE190" i="61"/>
  <c r="BE166" i="61"/>
  <c r="BE142" i="61"/>
  <c r="BE202" i="61"/>
  <c r="BE194" i="61"/>
  <c r="BE186" i="61"/>
  <c r="BE178" i="61"/>
  <c r="BE170" i="61"/>
  <c r="BE162" i="61"/>
  <c r="BE154" i="61"/>
  <c r="BE146" i="61"/>
  <c r="BE254" i="61"/>
  <c r="BE246" i="61"/>
  <c r="BE238" i="61"/>
  <c r="BE230" i="61"/>
  <c r="BE222" i="61"/>
  <c r="BE214" i="61"/>
  <c r="BE206" i="61"/>
  <c r="BE255" i="61"/>
  <c r="BF255" i="61" s="1"/>
  <c r="BE247" i="61"/>
  <c r="BE239" i="61"/>
  <c r="BE231" i="61"/>
  <c r="BE223" i="61"/>
  <c r="BE215" i="61"/>
  <c r="BE207" i="61"/>
  <c r="BB264" i="61"/>
  <c r="BE248" i="61"/>
  <c r="BE240" i="61"/>
  <c r="BE232" i="61"/>
  <c r="BE224" i="61"/>
  <c r="BE216" i="61"/>
  <c r="BE208" i="61"/>
  <c r="BE135" i="61"/>
  <c r="BE127" i="61"/>
  <c r="BE119" i="61"/>
  <c r="BE111" i="61"/>
  <c r="BE103" i="61"/>
  <c r="BE95" i="61"/>
  <c r="BE87" i="61"/>
  <c r="BE249" i="61"/>
  <c r="BE241" i="61"/>
  <c r="BE233" i="61"/>
  <c r="BE225" i="61"/>
  <c r="BE217" i="61"/>
  <c r="BE209" i="61"/>
  <c r="BE250" i="61"/>
  <c r="BE242" i="61"/>
  <c r="BE234" i="61"/>
  <c r="BE226" i="61"/>
  <c r="BE218" i="61"/>
  <c r="BE210" i="61"/>
  <c r="BE252" i="61"/>
  <c r="BE244" i="61"/>
  <c r="BE236" i="61"/>
  <c r="BE228" i="61"/>
  <c r="BE220" i="61"/>
  <c r="BE212" i="61"/>
  <c r="BE204" i="61"/>
  <c r="BE253" i="61"/>
  <c r="BE245" i="61"/>
  <c r="BE237" i="61"/>
  <c r="BE229" i="61"/>
  <c r="BE221" i="61"/>
  <c r="BE213" i="61"/>
  <c r="BE205" i="61"/>
  <c r="BE140" i="61"/>
  <c r="BE132" i="61"/>
  <c r="BE124" i="61"/>
  <c r="BE116" i="61"/>
  <c r="BE108" i="61"/>
  <c r="BE100" i="61"/>
  <c r="BE92" i="61"/>
  <c r="BE79" i="61"/>
  <c r="BE55" i="61"/>
  <c r="BE39" i="61"/>
  <c r="BE31" i="61"/>
  <c r="BN246" i="61"/>
  <c r="BN238" i="61"/>
  <c r="BN206" i="61"/>
  <c r="BE8" i="61"/>
  <c r="BE136" i="61"/>
  <c r="BE128" i="61"/>
  <c r="BE120" i="61"/>
  <c r="BE112" i="61"/>
  <c r="BE104" i="61"/>
  <c r="BE96" i="61"/>
  <c r="BE88" i="61"/>
  <c r="BE71" i="61"/>
  <c r="BE63" i="61"/>
  <c r="BE47" i="61"/>
  <c r="BE23" i="61"/>
  <c r="BE15" i="61"/>
  <c r="BN230" i="61"/>
  <c r="BN222" i="61"/>
  <c r="BN214" i="61"/>
  <c r="BC264" i="61"/>
  <c r="BE137" i="61"/>
  <c r="BE129" i="61"/>
  <c r="BE121" i="61"/>
  <c r="BE113" i="61"/>
  <c r="BE105" i="61"/>
  <c r="BE97" i="61"/>
  <c r="BE89" i="61"/>
  <c r="BE139" i="61"/>
  <c r="BE131" i="61"/>
  <c r="BE123" i="61"/>
  <c r="BE115" i="61"/>
  <c r="BE107" i="61"/>
  <c r="BE99" i="61"/>
  <c r="BE91" i="61"/>
  <c r="BN251" i="61"/>
  <c r="BN243" i="61"/>
  <c r="BN235" i="61"/>
  <c r="BN227" i="61"/>
  <c r="BN219" i="61"/>
  <c r="BN211" i="61"/>
  <c r="AY264" i="61"/>
  <c r="BE141" i="61"/>
  <c r="BE133" i="61"/>
  <c r="BE125" i="61"/>
  <c r="BE117" i="61"/>
  <c r="BE109" i="61"/>
  <c r="BE101" i="61"/>
  <c r="BE93" i="61"/>
  <c r="BE85" i="61"/>
  <c r="BN252" i="61"/>
  <c r="BN244" i="61"/>
  <c r="BN236" i="61"/>
  <c r="BN228" i="61"/>
  <c r="BN220" i="61"/>
  <c r="BN212" i="61"/>
  <c r="BN204" i="61"/>
  <c r="BN203" i="61"/>
  <c r="BE134" i="61"/>
  <c r="BE126" i="61"/>
  <c r="BE118" i="61"/>
  <c r="BE110" i="61"/>
  <c r="BE102" i="61"/>
  <c r="BE94" i="61"/>
  <c r="BE86" i="61"/>
  <c r="BE78" i="61"/>
  <c r="BE70" i="61"/>
  <c r="BE62" i="61"/>
  <c r="BE54" i="61"/>
  <c r="BE46" i="61"/>
  <c r="BE38" i="61"/>
  <c r="BE30" i="61"/>
  <c r="BE22" i="61"/>
  <c r="BE14" i="61"/>
  <c r="BN253" i="61"/>
  <c r="BN245" i="61"/>
  <c r="BN237" i="61"/>
  <c r="BN229" i="61"/>
  <c r="BN221" i="61"/>
  <c r="BN213" i="61"/>
  <c r="BN205" i="61"/>
  <c r="BN247" i="61"/>
  <c r="BN239" i="61"/>
  <c r="BN231" i="61"/>
  <c r="BN223" i="61"/>
  <c r="BN215" i="61"/>
  <c r="BN207" i="61"/>
  <c r="BN248" i="61"/>
  <c r="BN240" i="61"/>
  <c r="BN232" i="61"/>
  <c r="BN224" i="61"/>
  <c r="BN216" i="61"/>
  <c r="BN208" i="61"/>
  <c r="BN250" i="61"/>
  <c r="BN242" i="61"/>
  <c r="BN234" i="61"/>
  <c r="BN226" i="61"/>
  <c r="BN218" i="61"/>
  <c r="BN210" i="61"/>
  <c r="BN202" i="61"/>
  <c r="BN201" i="61"/>
  <c r="BN193" i="61"/>
  <c r="BN185" i="61"/>
  <c r="BN177" i="61"/>
  <c r="BN169" i="61"/>
  <c r="BN161" i="61"/>
  <c r="BN153" i="61"/>
  <c r="BN145" i="61"/>
  <c r="BN137" i="61"/>
  <c r="BN129" i="61"/>
  <c r="BN58" i="61"/>
  <c r="BN50" i="61"/>
  <c r="BN42" i="61"/>
  <c r="BN34" i="61"/>
  <c r="BN26" i="61"/>
  <c r="BN18" i="61"/>
  <c r="BN10" i="61"/>
  <c r="BE80" i="61"/>
  <c r="BE72" i="61"/>
  <c r="BE64" i="61"/>
  <c r="BE56" i="61"/>
  <c r="BE48" i="61"/>
  <c r="BE40" i="61"/>
  <c r="BE32" i="61"/>
  <c r="BE24" i="61"/>
  <c r="BE16" i="61"/>
  <c r="BE57" i="61"/>
  <c r="BE33" i="61"/>
  <c r="BE25" i="61"/>
  <c r="BN171" i="61"/>
  <c r="BN163" i="61"/>
  <c r="BN139" i="61"/>
  <c r="BA264" i="61"/>
  <c r="BE82" i="61"/>
  <c r="BE74" i="61"/>
  <c r="BE66" i="61"/>
  <c r="BE58" i="61"/>
  <c r="BE50" i="61"/>
  <c r="BE42" i="61"/>
  <c r="BE34" i="61"/>
  <c r="BE26" i="61"/>
  <c r="BE18" i="61"/>
  <c r="BE10" i="61"/>
  <c r="BN187" i="61"/>
  <c r="BN155" i="61"/>
  <c r="BN147" i="61"/>
  <c r="AZ264" i="61"/>
  <c r="BE83" i="61"/>
  <c r="BE75" i="61"/>
  <c r="BE67" i="61"/>
  <c r="BE59" i="61"/>
  <c r="BE51" i="61"/>
  <c r="BE43" i="61"/>
  <c r="BE35" i="61"/>
  <c r="BE27" i="61"/>
  <c r="BE19" i="61"/>
  <c r="BE11" i="61"/>
  <c r="BD264" i="61"/>
  <c r="BE65" i="61"/>
  <c r="BE41" i="61"/>
  <c r="BE9" i="61"/>
  <c r="BN195" i="61"/>
  <c r="BN131" i="61"/>
  <c r="BE84" i="61"/>
  <c r="BE76" i="61"/>
  <c r="BE68" i="61"/>
  <c r="BE60" i="61"/>
  <c r="BE52" i="61"/>
  <c r="BE44" i="61"/>
  <c r="BE36" i="61"/>
  <c r="BE28" i="61"/>
  <c r="BE20" i="61"/>
  <c r="BE12" i="61"/>
  <c r="BE81" i="61"/>
  <c r="BE73" i="61"/>
  <c r="BE49" i="61"/>
  <c r="BE17" i="61"/>
  <c r="BN179" i="61"/>
  <c r="BE77" i="61"/>
  <c r="BE69" i="61"/>
  <c r="BE61" i="61"/>
  <c r="BE53" i="61"/>
  <c r="BE45" i="61"/>
  <c r="BE37" i="61"/>
  <c r="BE29" i="61"/>
  <c r="BE21" i="61"/>
  <c r="BE13" i="61"/>
  <c r="BN194" i="61"/>
  <c r="BN186" i="61"/>
  <c r="BN178" i="61"/>
  <c r="BN170" i="61"/>
  <c r="BN162" i="61"/>
  <c r="BN154" i="61"/>
  <c r="BN146" i="61"/>
  <c r="BN138" i="61"/>
  <c r="BN130" i="61"/>
  <c r="BN196" i="61"/>
  <c r="BN188" i="61"/>
  <c r="BN180" i="61"/>
  <c r="BN172" i="61"/>
  <c r="BN164" i="61"/>
  <c r="BN156" i="61"/>
  <c r="BN148" i="61"/>
  <c r="BN140" i="61"/>
  <c r="BN132" i="61"/>
  <c r="BN197" i="61"/>
  <c r="BN189" i="61"/>
  <c r="BN181" i="61"/>
  <c r="BN173" i="61"/>
  <c r="BN165" i="61"/>
  <c r="BN157" i="61"/>
  <c r="BN149" i="61"/>
  <c r="BN141" i="61"/>
  <c r="BN133" i="61"/>
  <c r="BN125" i="61"/>
  <c r="BN120" i="61"/>
  <c r="BN198" i="61"/>
  <c r="BN190" i="61"/>
  <c r="BN182" i="61"/>
  <c r="BN174" i="61"/>
  <c r="BN166" i="61"/>
  <c r="BN158" i="61"/>
  <c r="BN150" i="61"/>
  <c r="BN142" i="61"/>
  <c r="BN134" i="61"/>
  <c r="BN126" i="61"/>
  <c r="BN199" i="61"/>
  <c r="BN191" i="61"/>
  <c r="BN183" i="61"/>
  <c r="BN175" i="61"/>
  <c r="BN167" i="61"/>
  <c r="BN159" i="61"/>
  <c r="BN151" i="61"/>
  <c r="BN143" i="61"/>
  <c r="BN135" i="61"/>
  <c r="BN127" i="61"/>
  <c r="BN112" i="61"/>
  <c r="BN104" i="61"/>
  <c r="BN96" i="61"/>
  <c r="BN121" i="61"/>
  <c r="BN113" i="61"/>
  <c r="BN105" i="61"/>
  <c r="BN97" i="61"/>
  <c r="BN88" i="61"/>
  <c r="BN80" i="61"/>
  <c r="BN72" i="61"/>
  <c r="BN64" i="61"/>
  <c r="BN122" i="61"/>
  <c r="BN114" i="61"/>
  <c r="BN106" i="61"/>
  <c r="BN98" i="61"/>
  <c r="BN254" i="61"/>
  <c r="AX264" i="61"/>
  <c r="BG264" i="61"/>
  <c r="BN8" i="61"/>
  <c r="BL264" i="61"/>
  <c r="BN89" i="61"/>
  <c r="BN81" i="61"/>
  <c r="BN73" i="61"/>
  <c r="BN65" i="61"/>
  <c r="BK264" i="61"/>
  <c r="BN123" i="61"/>
  <c r="BN115" i="61"/>
  <c r="BN107" i="61"/>
  <c r="BN99" i="61"/>
  <c r="BN90" i="61"/>
  <c r="BN82" i="61"/>
  <c r="BN74" i="61"/>
  <c r="BN66" i="61"/>
  <c r="BN75" i="61"/>
  <c r="BI264" i="61"/>
  <c r="BN117" i="61"/>
  <c r="BN109" i="61"/>
  <c r="BN101" i="61"/>
  <c r="BN92" i="61"/>
  <c r="BN84" i="61"/>
  <c r="BN76" i="61"/>
  <c r="BN68" i="61"/>
  <c r="BN124" i="61"/>
  <c r="BN116" i="61"/>
  <c r="BN91" i="61"/>
  <c r="BN83" i="61"/>
  <c r="BN67" i="61"/>
  <c r="BH264" i="61"/>
  <c r="BN118" i="61"/>
  <c r="BN110" i="61"/>
  <c r="BN102" i="61"/>
  <c r="BN94" i="61"/>
  <c r="BN93" i="61"/>
  <c r="BN85" i="61"/>
  <c r="BN77" i="61"/>
  <c r="BN69" i="61"/>
  <c r="BN60" i="61"/>
  <c r="BN52" i="61"/>
  <c r="BN44" i="61"/>
  <c r="BN36" i="61"/>
  <c r="BN28" i="61"/>
  <c r="BN20" i="61"/>
  <c r="BN12" i="61"/>
  <c r="BN119" i="61"/>
  <c r="BN111" i="61"/>
  <c r="BN103" i="61"/>
  <c r="BN95" i="61"/>
  <c r="BN86" i="61"/>
  <c r="BN78" i="61"/>
  <c r="BN70" i="61"/>
  <c r="BN62" i="61"/>
  <c r="BJ264" i="61"/>
  <c r="BN108" i="61"/>
  <c r="BN100" i="61"/>
  <c r="BM264" i="61"/>
  <c r="BN87" i="61"/>
  <c r="BN79" i="61"/>
  <c r="BN71" i="61"/>
  <c r="BN63" i="61"/>
  <c r="BN59" i="61"/>
  <c r="BN51" i="61"/>
  <c r="BN43" i="61"/>
  <c r="BN35" i="61"/>
  <c r="BN27" i="61"/>
  <c r="BN19" i="61"/>
  <c r="BN11" i="61"/>
  <c r="BN61" i="61"/>
  <c r="BN53" i="61"/>
  <c r="BN45" i="61"/>
  <c r="BN37" i="61"/>
  <c r="BN29" i="61"/>
  <c r="BN21" i="61"/>
  <c r="BN13" i="61"/>
  <c r="BN54" i="61"/>
  <c r="BN46" i="61"/>
  <c r="BN38" i="61"/>
  <c r="BN30" i="61"/>
  <c r="BN22" i="61"/>
  <c r="BN14" i="61"/>
  <c r="BN55" i="61"/>
  <c r="BN47" i="61"/>
  <c r="BN39" i="61"/>
  <c r="BN31" i="61"/>
  <c r="BN23" i="61"/>
  <c r="BN15" i="61"/>
  <c r="BN56" i="61"/>
  <c r="BN48" i="61"/>
  <c r="BN40" i="61"/>
  <c r="BN32" i="61"/>
  <c r="BN24" i="61"/>
  <c r="BN16" i="61"/>
  <c r="BN255" i="61"/>
  <c r="BO255" i="61" s="1"/>
  <c r="AV116" i="61"/>
  <c r="AV108" i="61"/>
  <c r="AV100" i="61"/>
  <c r="AV117" i="61"/>
  <c r="AV109" i="61"/>
  <c r="AV101" i="61"/>
  <c r="AV118" i="61"/>
  <c r="AV110" i="61"/>
  <c r="AV102" i="61"/>
  <c r="AV119" i="61"/>
  <c r="AV111" i="61"/>
  <c r="AV103" i="61"/>
  <c r="AV120" i="61"/>
  <c r="AV112" i="61"/>
  <c r="AV104" i="61"/>
  <c r="AV113" i="61"/>
  <c r="AV105" i="61"/>
  <c r="AV126" i="61"/>
  <c r="AV114" i="61"/>
  <c r="AV106" i="61"/>
  <c r="AV98" i="61"/>
  <c r="AV138" i="61"/>
  <c r="AV66" i="61"/>
  <c r="AV139" i="61"/>
  <c r="AV19" i="61"/>
  <c r="AV243" i="61"/>
  <c r="AV132" i="61"/>
  <c r="AV140" i="61"/>
  <c r="AV152" i="61"/>
  <c r="AV34" i="61"/>
  <c r="AV250" i="61"/>
  <c r="AV184" i="61"/>
  <c r="AV141" i="61"/>
  <c r="AV8" i="61"/>
  <c r="AV142" i="61"/>
  <c r="AV168" i="61"/>
  <c r="AV230" i="61"/>
  <c r="AV158" i="61"/>
  <c r="AV238" i="61"/>
  <c r="AV145" i="61"/>
  <c r="AV242" i="61"/>
  <c r="AV216" i="61"/>
  <c r="AV244" i="61"/>
  <c r="AV170" i="61"/>
  <c r="AV246" i="61"/>
  <c r="AV214" i="61"/>
  <c r="AV206" i="61"/>
  <c r="AV179" i="61"/>
  <c r="AV161" i="61"/>
  <c r="AV192" i="61"/>
  <c r="AV166" i="61"/>
  <c r="AV154" i="61"/>
  <c r="AV124" i="61"/>
  <c r="AV50" i="61"/>
  <c r="AV160" i="61"/>
  <c r="AV252" i="61"/>
  <c r="AV198" i="61"/>
  <c r="AV172" i="61"/>
  <c r="AV167" i="61"/>
  <c r="AV58" i="61"/>
  <c r="AV35" i="61"/>
  <c r="AV239" i="61"/>
  <c r="AV174" i="61"/>
  <c r="AV42" i="61"/>
  <c r="AV237" i="61"/>
  <c r="AV224" i="61"/>
  <c r="AV190" i="61"/>
  <c r="AV176" i="61"/>
  <c r="AV164" i="61"/>
  <c r="AV153" i="61"/>
  <c r="AV82" i="61"/>
  <c r="AV231" i="61"/>
  <c r="AV223" i="61"/>
  <c r="AV199" i="61"/>
  <c r="AV183" i="61"/>
  <c r="AV181" i="61"/>
  <c r="AV165" i="61"/>
  <c r="AV12" i="61"/>
  <c r="AV189" i="61"/>
  <c r="AV233" i="61"/>
  <c r="AV225" i="61"/>
  <c r="AV217" i="61"/>
  <c r="AV209" i="61"/>
  <c r="AV201" i="61"/>
  <c r="AV193" i="61"/>
  <c r="AV234" i="61"/>
  <c r="AV202" i="61"/>
  <c r="AV194" i="61"/>
  <c r="AV186" i="61"/>
  <c r="AV235" i="61"/>
  <c r="AV219" i="61"/>
  <c r="AV195" i="61"/>
  <c r="AV187" i="61"/>
  <c r="AV236" i="61"/>
  <c r="AV228" i="61"/>
  <c r="AV220" i="61"/>
  <c r="AV212" i="61"/>
  <c r="AV204" i="61"/>
  <c r="AV188" i="61"/>
  <c r="AV13" i="61"/>
  <c r="AV14" i="61"/>
  <c r="AV91" i="61"/>
  <c r="AV83" i="61"/>
  <c r="AV75" i="61"/>
  <c r="AV67" i="61"/>
  <c r="AV92" i="61"/>
  <c r="AV84" i="61"/>
  <c r="AV76" i="61"/>
  <c r="AV60" i="61"/>
  <c r="AV44" i="61"/>
  <c r="AV36" i="61"/>
  <c r="AV28" i="61"/>
  <c r="AV93" i="61"/>
  <c r="AV85" i="61"/>
  <c r="AV77" i="61"/>
  <c r="AV69" i="61"/>
  <c r="AV61" i="61"/>
  <c r="AV45" i="61"/>
  <c r="AV29" i="61"/>
  <c r="AV21" i="61"/>
  <c r="AV94" i="61"/>
  <c r="AV86" i="61"/>
  <c r="AV78" i="61"/>
  <c r="AV70" i="61"/>
  <c r="AV62" i="61"/>
  <c r="AV46" i="61"/>
  <c r="AV38" i="61"/>
  <c r="AV30" i="61"/>
  <c r="AV79" i="61"/>
  <c r="AV71" i="61"/>
  <c r="AV63" i="61"/>
  <c r="AV55" i="61"/>
  <c r="AV47" i="61"/>
  <c r="AV39" i="61"/>
  <c r="AV31" i="61"/>
  <c r="AV96" i="61"/>
  <c r="AV88" i="61"/>
  <c r="AV72" i="61"/>
  <c r="AV64" i="61"/>
  <c r="AV56" i="61"/>
  <c r="AV40" i="61"/>
  <c r="AV32" i="61"/>
  <c r="AV24" i="61"/>
  <c r="AV16" i="61"/>
  <c r="AV73" i="61"/>
  <c r="AV65" i="61"/>
  <c r="AV49" i="61"/>
  <c r="BE264" i="61" l="1"/>
  <c r="BN264" i="61"/>
  <c r="AU264" i="61" l="1"/>
  <c r="AP264" i="61" l="1"/>
  <c r="AO264" i="61" l="1"/>
  <c r="AT264" i="61" l="1"/>
  <c r="AV143" i="61" l="1"/>
  <c r="AV150" i="61"/>
  <c r="AV205" i="61" l="1"/>
  <c r="AQ264" i="61" l="1"/>
  <c r="AV211" i="61"/>
  <c r="AV57" i="61"/>
  <c r="AV37" i="61"/>
  <c r="AV15" i="61"/>
  <c r="AV159" i="61"/>
  <c r="AV90" i="61"/>
  <c r="AV208" i="61"/>
  <c r="AV123" i="61"/>
  <c r="AV254" i="61"/>
  <c r="AV240" i="61"/>
  <c r="AV25" i="61"/>
  <c r="AV232" i="61"/>
  <c r="AV191" i="61"/>
  <c r="AV157" i="61"/>
  <c r="AV178" i="61"/>
  <c r="AV41" i="61"/>
  <c r="AV162" i="61"/>
  <c r="AV218" i="61"/>
  <c r="AV97" i="61"/>
  <c r="AV131" i="61"/>
  <c r="BF131" i="61" s="1"/>
  <c r="AV207" i="61"/>
  <c r="AV18" i="61"/>
  <c r="AV215" i="61"/>
  <c r="AV177" i="61"/>
  <c r="AV180" i="61"/>
  <c r="AV136" i="61"/>
  <c r="AV227" i="61"/>
  <c r="AV68" i="61"/>
  <c r="AV125" i="61"/>
  <c r="AV175" i="61"/>
  <c r="AV156" i="61"/>
  <c r="AV20" i="61"/>
  <c r="AV135" i="61"/>
  <c r="AV59" i="61"/>
  <c r="AV169" i="61"/>
  <c r="AV129" i="61"/>
  <c r="BF254" i="61" l="1"/>
  <c r="BO254" i="61"/>
  <c r="AV253" i="61"/>
  <c r="AV81" i="61"/>
  <c r="AV251" i="61"/>
  <c r="AV128" i="61"/>
  <c r="AV229" i="61"/>
  <c r="AV137" i="61"/>
  <c r="AV52" i="61"/>
  <c r="AV33" i="61"/>
  <c r="AV196" i="61"/>
  <c r="AV248" i="61"/>
  <c r="AV133" i="61"/>
  <c r="AV222" i="61"/>
  <c r="AV182" i="61"/>
  <c r="AV80" i="61"/>
  <c r="AV245" i="61"/>
  <c r="AV134" i="61"/>
  <c r="AV130" i="61"/>
  <c r="AV43" i="61"/>
  <c r="AV89" i="61"/>
  <c r="AV146" i="61"/>
  <c r="AV247" i="61"/>
  <c r="AV213" i="61"/>
  <c r="AV87" i="61"/>
  <c r="AV22" i="61"/>
  <c r="AV11" i="61"/>
  <c r="AV144" i="61"/>
  <c r="AV226" i="61"/>
  <c r="AV121" i="61"/>
  <c r="AV95" i="61"/>
  <c r="AV163" i="61"/>
  <c r="AV48" i="61"/>
  <c r="AV241" i="61"/>
  <c r="AV54" i="61"/>
  <c r="AV148" i="61"/>
  <c r="AV23" i="61"/>
  <c r="AV9" i="61"/>
  <c r="AV173" i="61"/>
  <c r="AV51" i="61"/>
  <c r="AV221" i="61"/>
  <c r="AV74" i="61"/>
  <c r="AV10" i="61"/>
  <c r="AV185" i="61"/>
  <c r="AV17" i="61"/>
  <c r="AV155" i="61"/>
  <c r="AV203" i="61"/>
  <c r="AV210" i="61"/>
  <c r="AV26" i="61"/>
  <c r="AV200" i="61"/>
  <c r="AV122" i="61"/>
  <c r="AV197" i="61"/>
  <c r="AV149" i="61"/>
  <c r="AV53" i="61"/>
  <c r="AV27" i="61"/>
  <c r="AV147" i="61"/>
  <c r="AV249" i="61"/>
  <c r="AV171" i="61"/>
  <c r="AR264" i="61"/>
  <c r="AV264" i="61" l="1"/>
  <c r="AS264" i="61"/>
  <c r="AY208" i="49" l="1"/>
  <c r="AY209" i="49"/>
  <c r="AY210" i="49"/>
  <c r="AY211" i="49"/>
  <c r="AY212" i="49"/>
  <c r="AY213" i="49"/>
  <c r="AY214" i="49"/>
  <c r="AY215" i="49"/>
  <c r="AY216" i="49"/>
  <c r="AY217" i="49"/>
  <c r="AY218" i="49"/>
  <c r="AY219" i="49"/>
  <c r="AY220" i="49"/>
  <c r="AY221" i="49"/>
  <c r="AY222" i="49"/>
  <c r="AY223" i="49"/>
  <c r="AY224" i="49"/>
  <c r="AY225" i="49"/>
  <c r="AY226" i="49"/>
  <c r="AY227" i="49"/>
  <c r="AY228" i="49"/>
  <c r="AY229" i="49"/>
  <c r="AY230" i="49"/>
  <c r="AY231" i="49"/>
  <c r="AY232" i="49"/>
  <c r="AY233" i="49"/>
  <c r="AY234" i="49"/>
  <c r="AY235" i="49"/>
  <c r="AY236" i="49"/>
  <c r="AY237" i="49"/>
  <c r="AY238" i="49"/>
  <c r="AY239" i="49"/>
  <c r="AY240" i="49"/>
  <c r="AY241" i="49"/>
  <c r="AY242" i="49"/>
  <c r="AY243" i="49"/>
  <c r="AY244" i="49"/>
  <c r="AY245" i="49"/>
  <c r="AY246" i="49"/>
  <c r="AY247" i="49"/>
  <c r="AY248" i="49"/>
  <c r="AY249" i="49"/>
  <c r="AY250" i="49"/>
  <c r="AY251" i="49"/>
  <c r="AY252" i="49"/>
  <c r="AY253" i="49"/>
  <c r="AY254" i="49"/>
  <c r="AY255" i="49"/>
  <c r="AS208" i="49"/>
  <c r="AS209" i="49"/>
  <c r="AS210" i="49"/>
  <c r="AS211" i="49"/>
  <c r="AS212" i="49"/>
  <c r="AS213" i="49"/>
  <c r="AS214" i="49"/>
  <c r="AS215" i="49"/>
  <c r="AS216" i="49"/>
  <c r="AS217" i="49"/>
  <c r="AS218" i="49"/>
  <c r="AS219" i="49"/>
  <c r="AS220" i="49"/>
  <c r="AS221" i="49"/>
  <c r="AS222" i="49"/>
  <c r="AS223" i="49"/>
  <c r="AS224" i="49"/>
  <c r="AS225" i="49"/>
  <c r="AS226" i="49"/>
  <c r="AS227" i="49"/>
  <c r="AS228" i="49"/>
  <c r="AS229" i="49"/>
  <c r="AS230" i="49"/>
  <c r="AS231" i="49"/>
  <c r="AS232" i="49"/>
  <c r="AS233" i="49"/>
  <c r="AS234" i="49"/>
  <c r="AS235" i="49"/>
  <c r="AS236" i="49"/>
  <c r="AS237" i="49"/>
  <c r="AS238" i="49"/>
  <c r="AS239" i="49"/>
  <c r="AS240" i="49"/>
  <c r="AS241" i="49"/>
  <c r="AS242" i="49"/>
  <c r="AS243" i="49"/>
  <c r="AS244" i="49"/>
  <c r="AS245" i="49"/>
  <c r="AS246" i="49"/>
  <c r="AS247" i="49"/>
  <c r="AS248" i="49"/>
  <c r="AS249" i="49"/>
  <c r="AS250" i="49"/>
  <c r="AS251" i="49"/>
  <c r="AS252" i="49"/>
  <c r="AS253" i="49"/>
  <c r="AS254" i="49"/>
  <c r="AS255" i="49"/>
  <c r="F263" i="49"/>
  <c r="G263" i="49"/>
  <c r="H263" i="49"/>
  <c r="I263" i="49"/>
  <c r="J263" i="49"/>
  <c r="K263" i="49"/>
  <c r="L263" i="49"/>
  <c r="M263" i="49"/>
  <c r="N263" i="49"/>
  <c r="O263" i="49"/>
  <c r="P263" i="49"/>
  <c r="Q263" i="49"/>
  <c r="R263" i="49"/>
  <c r="S263" i="49"/>
  <c r="T263" i="49"/>
  <c r="U263" i="49"/>
  <c r="V263" i="49"/>
  <c r="W263" i="49"/>
  <c r="X263" i="49"/>
  <c r="Y263" i="49"/>
  <c r="Z263" i="49"/>
  <c r="AA263" i="49"/>
  <c r="AB263" i="49"/>
  <c r="AC263" i="49"/>
  <c r="AD263" i="49"/>
  <c r="AE263" i="49"/>
  <c r="AF263" i="49"/>
  <c r="AG263" i="49"/>
  <c r="AH263" i="49"/>
  <c r="AI263" i="49"/>
  <c r="AJ263" i="49"/>
  <c r="AK263" i="49"/>
  <c r="AL263" i="49"/>
  <c r="AM263" i="49"/>
  <c r="AN263" i="49"/>
  <c r="AO263" i="49"/>
  <c r="AP263" i="49"/>
  <c r="AQ263" i="49"/>
  <c r="AR263" i="49"/>
  <c r="E263" i="49"/>
  <c r="U256" i="62" l="1"/>
  <c r="AM208" i="61"/>
  <c r="AM209" i="61"/>
  <c r="AM210" i="61"/>
  <c r="AM211" i="61"/>
  <c r="AM212" i="61"/>
  <c r="AM213" i="61"/>
  <c r="AM214" i="61"/>
  <c r="AM215" i="61"/>
  <c r="AM216" i="61"/>
  <c r="AM217" i="61"/>
  <c r="AM218" i="61"/>
  <c r="AM219" i="61"/>
  <c r="AM220" i="61"/>
  <c r="AM221" i="61"/>
  <c r="AM222" i="61"/>
  <c r="AM223" i="61"/>
  <c r="AM224" i="61"/>
  <c r="AM225" i="61"/>
  <c r="AM226" i="61"/>
  <c r="AM227" i="61"/>
  <c r="AM228" i="61"/>
  <c r="AM229" i="61"/>
  <c r="AM230" i="61"/>
  <c r="AM231" i="61"/>
  <c r="AM232" i="61"/>
  <c r="AM233" i="61"/>
  <c r="AM234" i="61"/>
  <c r="AM235" i="61"/>
  <c r="AM236" i="61"/>
  <c r="AM237" i="61"/>
  <c r="AM238" i="61"/>
  <c r="AM239" i="61"/>
  <c r="AM240" i="61"/>
  <c r="AM241" i="61"/>
  <c r="AM242" i="61"/>
  <c r="AM243" i="61"/>
  <c r="AM244" i="61"/>
  <c r="AM245" i="61"/>
  <c r="AM246" i="61"/>
  <c r="AM247" i="61"/>
  <c r="AM248" i="61"/>
  <c r="AM249" i="61"/>
  <c r="AM250" i="61"/>
  <c r="AM251" i="61"/>
  <c r="AM252" i="61"/>
  <c r="AM253" i="61"/>
  <c r="AL208" i="61"/>
  <c r="AL209" i="61"/>
  <c r="AL210" i="61"/>
  <c r="AL211" i="61"/>
  <c r="AL212" i="61"/>
  <c r="AL213" i="61"/>
  <c r="AL214" i="61"/>
  <c r="AL215" i="61"/>
  <c r="AL216" i="61"/>
  <c r="AL217" i="61"/>
  <c r="AL218" i="61"/>
  <c r="AL219" i="61"/>
  <c r="AL220" i="61"/>
  <c r="AL221" i="61"/>
  <c r="AL222" i="61"/>
  <c r="AL223" i="61"/>
  <c r="AL224" i="61"/>
  <c r="AL225" i="61"/>
  <c r="AL226" i="61"/>
  <c r="AL227" i="61"/>
  <c r="AL228" i="61"/>
  <c r="AL229" i="61"/>
  <c r="AL230" i="61"/>
  <c r="AL231" i="61"/>
  <c r="AL232" i="61"/>
  <c r="AL233" i="61"/>
  <c r="AL234" i="61"/>
  <c r="AL235" i="61"/>
  <c r="AL236" i="61"/>
  <c r="AL237" i="61"/>
  <c r="AL238" i="61"/>
  <c r="AL239" i="61"/>
  <c r="AL240" i="61"/>
  <c r="AL241" i="61"/>
  <c r="AL242" i="61"/>
  <c r="AL243" i="61"/>
  <c r="AL244" i="61"/>
  <c r="AL245" i="61"/>
  <c r="AL246" i="61"/>
  <c r="AL247" i="61"/>
  <c r="AL248" i="61"/>
  <c r="AL249" i="61"/>
  <c r="AL250" i="61"/>
  <c r="AL251" i="61"/>
  <c r="AL252" i="61"/>
  <c r="AL253" i="61"/>
  <c r="AF256" i="62" l="1"/>
  <c r="AE256" i="62"/>
  <c r="U131" i="61"/>
  <c r="AD208" i="61" l="1"/>
  <c r="AE208" i="61" s="1"/>
  <c r="AD209" i="61"/>
  <c r="AE209" i="61" s="1"/>
  <c r="AD210" i="61"/>
  <c r="AE210" i="61" s="1"/>
  <c r="AD211" i="61"/>
  <c r="AE211" i="61" s="1"/>
  <c r="AD212" i="61"/>
  <c r="AE212" i="61" s="1"/>
  <c r="AD213" i="61"/>
  <c r="AE213" i="61" s="1"/>
  <c r="AD214" i="61"/>
  <c r="AE214" i="61" s="1"/>
  <c r="AD215" i="61"/>
  <c r="AE215" i="61" s="1"/>
  <c r="AD216" i="61"/>
  <c r="AE216" i="61" s="1"/>
  <c r="AD217" i="61"/>
  <c r="AE217" i="61" s="1"/>
  <c r="AD218" i="61"/>
  <c r="AE218" i="61" s="1"/>
  <c r="AD219" i="61"/>
  <c r="AE219" i="61" s="1"/>
  <c r="AD220" i="61"/>
  <c r="AE220" i="61" s="1"/>
  <c r="AD221" i="61"/>
  <c r="AE221" i="61" s="1"/>
  <c r="AD222" i="61"/>
  <c r="AE222" i="61" s="1"/>
  <c r="AD223" i="61"/>
  <c r="AE223" i="61" s="1"/>
  <c r="AD224" i="61"/>
  <c r="AE224" i="61" s="1"/>
  <c r="AD225" i="61"/>
  <c r="AE225" i="61" s="1"/>
  <c r="AD226" i="61"/>
  <c r="AE226" i="61" s="1"/>
  <c r="AD227" i="61"/>
  <c r="AE227" i="61" s="1"/>
  <c r="AD228" i="61"/>
  <c r="AE228" i="61" s="1"/>
  <c r="AD229" i="61"/>
  <c r="AE229" i="61" s="1"/>
  <c r="AD230" i="61"/>
  <c r="AE230" i="61" s="1"/>
  <c r="AD231" i="61"/>
  <c r="AE231" i="61" s="1"/>
  <c r="AD232" i="61"/>
  <c r="AE232" i="61" s="1"/>
  <c r="AD233" i="61"/>
  <c r="AE233" i="61" s="1"/>
  <c r="AD234" i="61"/>
  <c r="AE234" i="61" s="1"/>
  <c r="AD235" i="61"/>
  <c r="AE235" i="61" s="1"/>
  <c r="AD236" i="61"/>
  <c r="AE236" i="61" s="1"/>
  <c r="AD237" i="61"/>
  <c r="AE237" i="61" s="1"/>
  <c r="AD238" i="61"/>
  <c r="AE238" i="61" s="1"/>
  <c r="AD239" i="61"/>
  <c r="AE239" i="61" s="1"/>
  <c r="AD240" i="61"/>
  <c r="AE240" i="61" s="1"/>
  <c r="AD241" i="61"/>
  <c r="AE241" i="61" s="1"/>
  <c r="AD242" i="61"/>
  <c r="AE242" i="61" s="1"/>
  <c r="AD243" i="61"/>
  <c r="AE243" i="61" s="1"/>
  <c r="AD244" i="61"/>
  <c r="AE244" i="61" s="1"/>
  <c r="AD245" i="61"/>
  <c r="AE245" i="61" s="1"/>
  <c r="AD246" i="61"/>
  <c r="AE246" i="61" s="1"/>
  <c r="AD247" i="61"/>
  <c r="AE247" i="61" s="1"/>
  <c r="AD248" i="61"/>
  <c r="AE248" i="61" s="1"/>
  <c r="AD249" i="61"/>
  <c r="AE249" i="61" s="1"/>
  <c r="AD250" i="61"/>
  <c r="AE250" i="61" s="1"/>
  <c r="AD251" i="61"/>
  <c r="AE251" i="61" s="1"/>
  <c r="AD252" i="61"/>
  <c r="AE252" i="61" s="1"/>
  <c r="AD253" i="61"/>
  <c r="AE253" i="61" s="1"/>
  <c r="AD9" i="61"/>
  <c r="AD10" i="61"/>
  <c r="AD11" i="61"/>
  <c r="AD12" i="61"/>
  <c r="AD13" i="61"/>
  <c r="AD14" i="61"/>
  <c r="AD15" i="61"/>
  <c r="AD16" i="61"/>
  <c r="AD17" i="61"/>
  <c r="AD18" i="61"/>
  <c r="AD19" i="61"/>
  <c r="AD20" i="61"/>
  <c r="AD21" i="61"/>
  <c r="AD22" i="61"/>
  <c r="AD23" i="61"/>
  <c r="AD24" i="61"/>
  <c r="AD25" i="61"/>
  <c r="AD26" i="61"/>
  <c r="AD27" i="61"/>
  <c r="AD28" i="61"/>
  <c r="AD29" i="61"/>
  <c r="AD30" i="61"/>
  <c r="AD31" i="61"/>
  <c r="AD32" i="61"/>
  <c r="AD33" i="61"/>
  <c r="AD34" i="61"/>
  <c r="AD35" i="61"/>
  <c r="AD36" i="61"/>
  <c r="AD37" i="61"/>
  <c r="AD38" i="61"/>
  <c r="AD39" i="61"/>
  <c r="AD40" i="61"/>
  <c r="AD41" i="61"/>
  <c r="AD42" i="61"/>
  <c r="AD43" i="61"/>
  <c r="AD44" i="61"/>
  <c r="AD45" i="61"/>
  <c r="AD46" i="61"/>
  <c r="AD47" i="61"/>
  <c r="AD48" i="61"/>
  <c r="AD49" i="61"/>
  <c r="AD50" i="61"/>
  <c r="AD51" i="61"/>
  <c r="AD52" i="61"/>
  <c r="AD53" i="61"/>
  <c r="AD54" i="61"/>
  <c r="AD55" i="61"/>
  <c r="AD56" i="61"/>
  <c r="AD57" i="61"/>
  <c r="AD58" i="61"/>
  <c r="AD59" i="61"/>
  <c r="AD60" i="61"/>
  <c r="AD61" i="61"/>
  <c r="AD62" i="61"/>
  <c r="AD63" i="61"/>
  <c r="AD64" i="61"/>
  <c r="AD65" i="61"/>
  <c r="AD66" i="61"/>
  <c r="AD67" i="61"/>
  <c r="AD68" i="61"/>
  <c r="AD69" i="61"/>
  <c r="AD70" i="61"/>
  <c r="AD71" i="61"/>
  <c r="AD72" i="61"/>
  <c r="AD73" i="61"/>
  <c r="AD74" i="61"/>
  <c r="AD75" i="61"/>
  <c r="AD76" i="61"/>
  <c r="AD77" i="61"/>
  <c r="AD78" i="61"/>
  <c r="AD79" i="61"/>
  <c r="AD80" i="61"/>
  <c r="AD81" i="61"/>
  <c r="AD82" i="61"/>
  <c r="AD83" i="61"/>
  <c r="AD84" i="61"/>
  <c r="AD85" i="61"/>
  <c r="AD86" i="61"/>
  <c r="AD87" i="61"/>
  <c r="AD88" i="61"/>
  <c r="AD89" i="61"/>
  <c r="AD90" i="61"/>
  <c r="AD91" i="61"/>
  <c r="AD92" i="61"/>
  <c r="AD93" i="61"/>
  <c r="AD94" i="61"/>
  <c r="AD95" i="61"/>
  <c r="AD96" i="61"/>
  <c r="AD97" i="61"/>
  <c r="AD98" i="61"/>
  <c r="AD99" i="61"/>
  <c r="AD100" i="61"/>
  <c r="AD101" i="61"/>
  <c r="AD102" i="61"/>
  <c r="AD103" i="61"/>
  <c r="AD104" i="61"/>
  <c r="AD105" i="61"/>
  <c r="AD106" i="61"/>
  <c r="AD107" i="61"/>
  <c r="AD108" i="61"/>
  <c r="AD109" i="61"/>
  <c r="AD110" i="61"/>
  <c r="AD111" i="61"/>
  <c r="AD112" i="61"/>
  <c r="AD113" i="61"/>
  <c r="AD114" i="61"/>
  <c r="AD115" i="61"/>
  <c r="AD116" i="61"/>
  <c r="AD117" i="61"/>
  <c r="AD118" i="61"/>
  <c r="AD119" i="61"/>
  <c r="AD120" i="61"/>
  <c r="AD121" i="61"/>
  <c r="AD122" i="61"/>
  <c r="AD123" i="61"/>
  <c r="AD124" i="61"/>
  <c r="AD125" i="61"/>
  <c r="AD126" i="61"/>
  <c r="AD127" i="61"/>
  <c r="AD128" i="61"/>
  <c r="AD129" i="61"/>
  <c r="AD130" i="61"/>
  <c r="AD131" i="61"/>
  <c r="AD132" i="61"/>
  <c r="AD133" i="61"/>
  <c r="AD134" i="61"/>
  <c r="AD135" i="61"/>
  <c r="AD136" i="61"/>
  <c r="AD137" i="61"/>
  <c r="AD138" i="61"/>
  <c r="AD139" i="61"/>
  <c r="AD140" i="61"/>
  <c r="AD141" i="61"/>
  <c r="AD142" i="61"/>
  <c r="AD143" i="61"/>
  <c r="AD144" i="61"/>
  <c r="AD145" i="61"/>
  <c r="AD146" i="61"/>
  <c r="AD147" i="61"/>
  <c r="AD148" i="61"/>
  <c r="AD149" i="61"/>
  <c r="AD150" i="61"/>
  <c r="AD151" i="61"/>
  <c r="AD152" i="61"/>
  <c r="AD153" i="61"/>
  <c r="AD154" i="61"/>
  <c r="AD155" i="61"/>
  <c r="AD156" i="61"/>
  <c r="AD157" i="61"/>
  <c r="AD158" i="61"/>
  <c r="AD159" i="61"/>
  <c r="AD160" i="61"/>
  <c r="AD161" i="61"/>
  <c r="AD162" i="61"/>
  <c r="AD163" i="61"/>
  <c r="AD164" i="61"/>
  <c r="AD165" i="61"/>
  <c r="AD166" i="61"/>
  <c r="AD167" i="61"/>
  <c r="AD168" i="61"/>
  <c r="AD169" i="61"/>
  <c r="AD170" i="61"/>
  <c r="AD171" i="61"/>
  <c r="AD172" i="61"/>
  <c r="AD173" i="61"/>
  <c r="AD174" i="61"/>
  <c r="AD175" i="61"/>
  <c r="AD176" i="61"/>
  <c r="AD177" i="61"/>
  <c r="AD178" i="61"/>
  <c r="AD179" i="61"/>
  <c r="AD180" i="61"/>
  <c r="AD181" i="61"/>
  <c r="AD182" i="61"/>
  <c r="AD183" i="61"/>
  <c r="AD184" i="61"/>
  <c r="AD185" i="61"/>
  <c r="AD186" i="61"/>
  <c r="AD187" i="61"/>
  <c r="AD188" i="61"/>
  <c r="AD189" i="61"/>
  <c r="AD190" i="61"/>
  <c r="AD191" i="61"/>
  <c r="AD192" i="61"/>
  <c r="AD193" i="61"/>
  <c r="AD194" i="61"/>
  <c r="AD195" i="61"/>
  <c r="AD196" i="61"/>
  <c r="AD197" i="61"/>
  <c r="AD198" i="61"/>
  <c r="AD199" i="61"/>
  <c r="AD200" i="61"/>
  <c r="AD201" i="61"/>
  <c r="AD202" i="61"/>
  <c r="AD203" i="61"/>
  <c r="AD204" i="61"/>
  <c r="AD205" i="61"/>
  <c r="AD206" i="61"/>
  <c r="AD207" i="61"/>
  <c r="U208" i="61"/>
  <c r="V208" i="61" s="1"/>
  <c r="U209" i="61"/>
  <c r="V209" i="61" s="1"/>
  <c r="U210" i="61"/>
  <c r="V210" i="61" s="1"/>
  <c r="U211" i="61"/>
  <c r="V211" i="61" s="1"/>
  <c r="U212" i="61"/>
  <c r="V212" i="61" s="1"/>
  <c r="U213" i="61"/>
  <c r="V213" i="61" s="1"/>
  <c r="U214" i="61"/>
  <c r="V214" i="61" s="1"/>
  <c r="U215" i="61"/>
  <c r="V215" i="61" s="1"/>
  <c r="U216" i="61"/>
  <c r="V216" i="61" s="1"/>
  <c r="U217" i="61"/>
  <c r="V217" i="61" s="1"/>
  <c r="U218" i="61"/>
  <c r="V218" i="61" s="1"/>
  <c r="U219" i="61"/>
  <c r="V219" i="61" s="1"/>
  <c r="U220" i="61"/>
  <c r="V220" i="61" s="1"/>
  <c r="U221" i="61"/>
  <c r="V221" i="61" s="1"/>
  <c r="U222" i="61"/>
  <c r="V222" i="61" s="1"/>
  <c r="U223" i="61"/>
  <c r="V223" i="61" s="1"/>
  <c r="U224" i="61"/>
  <c r="V224" i="61" s="1"/>
  <c r="U225" i="61"/>
  <c r="V225" i="61" s="1"/>
  <c r="U226" i="61"/>
  <c r="V226" i="61" s="1"/>
  <c r="U227" i="61"/>
  <c r="V227" i="61" s="1"/>
  <c r="U228" i="61"/>
  <c r="V228" i="61" s="1"/>
  <c r="U229" i="61"/>
  <c r="V229" i="61" s="1"/>
  <c r="U230" i="61"/>
  <c r="V230" i="61" s="1"/>
  <c r="U231" i="61"/>
  <c r="V231" i="61" s="1"/>
  <c r="U232" i="61"/>
  <c r="V232" i="61" s="1"/>
  <c r="U233" i="61"/>
  <c r="V233" i="61" s="1"/>
  <c r="U234" i="61"/>
  <c r="V234" i="61" s="1"/>
  <c r="U235" i="61"/>
  <c r="V235" i="61" s="1"/>
  <c r="U236" i="61"/>
  <c r="V236" i="61" s="1"/>
  <c r="U237" i="61"/>
  <c r="V237" i="61" s="1"/>
  <c r="U238" i="61"/>
  <c r="V238" i="61" s="1"/>
  <c r="U239" i="61"/>
  <c r="V239" i="61" s="1"/>
  <c r="U240" i="61"/>
  <c r="V240" i="61" s="1"/>
  <c r="U241" i="61"/>
  <c r="V241" i="61" s="1"/>
  <c r="U242" i="61"/>
  <c r="V242" i="61" s="1"/>
  <c r="U243" i="61"/>
  <c r="V243" i="61" s="1"/>
  <c r="U244" i="61"/>
  <c r="V244" i="61" s="1"/>
  <c r="U245" i="61"/>
  <c r="V245" i="61" s="1"/>
  <c r="U246" i="61"/>
  <c r="V246" i="61" s="1"/>
  <c r="U247" i="61"/>
  <c r="V247" i="61" s="1"/>
  <c r="U248" i="61"/>
  <c r="V248" i="61" s="1"/>
  <c r="U249" i="61"/>
  <c r="V249" i="61" s="1"/>
  <c r="U250" i="61"/>
  <c r="V250" i="61" s="1"/>
  <c r="U251" i="61"/>
  <c r="V251" i="61" s="1"/>
  <c r="U252" i="61"/>
  <c r="V252" i="61" s="1"/>
  <c r="U253" i="61"/>
  <c r="V253" i="61" s="1"/>
  <c r="AK252" i="61"/>
  <c r="AK250" i="61"/>
  <c r="AK209" i="61"/>
  <c r="AK212" i="61"/>
  <c r="AK214" i="61"/>
  <c r="AK216" i="61"/>
  <c r="AK217" i="61"/>
  <c r="AK219" i="61"/>
  <c r="AK220" i="61"/>
  <c r="AK223" i="61"/>
  <c r="AK224" i="61"/>
  <c r="AK225" i="61"/>
  <c r="AK228" i="61"/>
  <c r="AK230" i="61"/>
  <c r="AK231" i="61"/>
  <c r="AK233" i="61"/>
  <c r="AK234" i="61"/>
  <c r="AK235" i="61"/>
  <c r="AK236" i="61"/>
  <c r="AK237" i="61"/>
  <c r="AK238" i="61"/>
  <c r="AK239" i="61"/>
  <c r="AK242" i="61"/>
  <c r="AK243" i="61"/>
  <c r="AK244" i="61"/>
  <c r="AK246" i="61"/>
  <c r="AK8" i="61"/>
  <c r="L8" i="61" l="1"/>
  <c r="BF8" i="61" s="1"/>
  <c r="L242" i="61"/>
  <c r="L210" i="61"/>
  <c r="BF210" i="61" s="1"/>
  <c r="F264" i="61"/>
  <c r="G264" i="61"/>
  <c r="L217" i="61"/>
  <c r="K264" i="61"/>
  <c r="J264" i="61"/>
  <c r="I264" i="61"/>
  <c r="L246" i="61"/>
  <c r="L213" i="61"/>
  <c r="BF213" i="61" s="1"/>
  <c r="H264" i="61"/>
  <c r="L221" i="61"/>
  <c r="BF221" i="61" s="1"/>
  <c r="L240" i="61"/>
  <c r="BF240" i="61" s="1"/>
  <c r="L236" i="61"/>
  <c r="L232" i="61"/>
  <c r="BF232" i="61" s="1"/>
  <c r="L228" i="61"/>
  <c r="L224" i="61"/>
  <c r="L220" i="61"/>
  <c r="L216" i="61"/>
  <c r="L212" i="61"/>
  <c r="L215" i="61"/>
  <c r="BF215" i="61" s="1"/>
  <c r="L211" i="61"/>
  <c r="BF211" i="61" s="1"/>
  <c r="L243" i="61"/>
  <c r="L239" i="61"/>
  <c r="L235" i="61"/>
  <c r="L231" i="61"/>
  <c r="L227" i="61"/>
  <c r="BF227" i="61" s="1"/>
  <c r="L223" i="61"/>
  <c r="L219" i="61"/>
  <c r="L252" i="61"/>
  <c r="L248" i="61"/>
  <c r="BF248" i="61" s="1"/>
  <c r="L244" i="61"/>
  <c r="L251" i="61"/>
  <c r="BF251" i="61" s="1"/>
  <c r="L247" i="61"/>
  <c r="BF247" i="61" s="1"/>
  <c r="L250" i="61"/>
  <c r="L238" i="61"/>
  <c r="L234" i="61"/>
  <c r="L230" i="61"/>
  <c r="L226" i="61"/>
  <c r="BF226" i="61" s="1"/>
  <c r="L222" i="61"/>
  <c r="BF222" i="61" s="1"/>
  <c r="L218" i="61"/>
  <c r="BF218" i="61" s="1"/>
  <c r="L214" i="61"/>
  <c r="L253" i="61"/>
  <c r="BF253" i="61" s="1"/>
  <c r="L249" i="61"/>
  <c r="BF249" i="61" s="1"/>
  <c r="L245" i="61"/>
  <c r="BF245" i="61" s="1"/>
  <c r="L241" i="61"/>
  <c r="BF241" i="61" s="1"/>
  <c r="L237" i="61"/>
  <c r="L233" i="61"/>
  <c r="L229" i="61"/>
  <c r="BF229" i="61" s="1"/>
  <c r="L225" i="61"/>
  <c r="L209" i="61"/>
  <c r="L208" i="61"/>
  <c r="BF208" i="61" s="1"/>
  <c r="M243" i="61" l="1"/>
  <c r="BO243" i="61" s="1"/>
  <c r="BF243" i="61"/>
  <c r="M217" i="61"/>
  <c r="BO217" i="61" s="1"/>
  <c r="BF217" i="61"/>
  <c r="M219" i="61"/>
  <c r="BO219" i="61" s="1"/>
  <c r="BF219" i="61"/>
  <c r="M238" i="61"/>
  <c r="BO238" i="61" s="1"/>
  <c r="BF238" i="61"/>
  <c r="M223" i="61"/>
  <c r="BO223" i="61" s="1"/>
  <c r="BF223" i="61"/>
  <c r="M212" i="61"/>
  <c r="BO212" i="61" s="1"/>
  <c r="BF212" i="61"/>
  <c r="M209" i="61"/>
  <c r="BO209" i="61" s="1"/>
  <c r="BF209" i="61"/>
  <c r="M250" i="61"/>
  <c r="BO250" i="61" s="1"/>
  <c r="BF250" i="61"/>
  <c r="M216" i="61"/>
  <c r="BO216" i="61" s="1"/>
  <c r="BF216" i="61"/>
  <c r="M231" i="61"/>
  <c r="BO231" i="61" s="1"/>
  <c r="BF231" i="61"/>
  <c r="M220" i="61"/>
  <c r="BO220" i="61" s="1"/>
  <c r="BF220" i="61"/>
  <c r="M252" i="61"/>
  <c r="BO252" i="61" s="1"/>
  <c r="BF252" i="61"/>
  <c r="M234" i="61"/>
  <c r="BO234" i="61" s="1"/>
  <c r="BF234" i="61"/>
  <c r="M225" i="61"/>
  <c r="BO225" i="61" s="1"/>
  <c r="BF225" i="61"/>
  <c r="M214" i="61"/>
  <c r="BO214" i="61" s="1"/>
  <c r="BF214" i="61"/>
  <c r="M235" i="61"/>
  <c r="BO235" i="61" s="1"/>
  <c r="BF235" i="61"/>
  <c r="M224" i="61"/>
  <c r="BO224" i="61" s="1"/>
  <c r="BF224" i="61"/>
  <c r="M246" i="61"/>
  <c r="BO246" i="61" s="1"/>
  <c r="BF246" i="61"/>
  <c r="M242" i="61"/>
  <c r="BO242" i="61" s="1"/>
  <c r="BF242" i="61"/>
  <c r="M237" i="61"/>
  <c r="BO237" i="61" s="1"/>
  <c r="BF237" i="61"/>
  <c r="M230" i="61"/>
  <c r="BO230" i="61" s="1"/>
  <c r="BF230" i="61"/>
  <c r="M236" i="61"/>
  <c r="BO236" i="61" s="1"/>
  <c r="BF236" i="61"/>
  <c r="M233" i="61"/>
  <c r="BO233" i="61" s="1"/>
  <c r="BF233" i="61"/>
  <c r="M244" i="61"/>
  <c r="BO244" i="61" s="1"/>
  <c r="BF244" i="61"/>
  <c r="M239" i="61"/>
  <c r="BO239" i="61" s="1"/>
  <c r="BF239" i="61"/>
  <c r="M228" i="61"/>
  <c r="BO228" i="61" s="1"/>
  <c r="BF228" i="61"/>
  <c r="M222" i="61"/>
  <c r="M226" i="61"/>
  <c r="M248" i="61"/>
  <c r="M232" i="61"/>
  <c r="M211" i="61"/>
  <c r="M241" i="61"/>
  <c r="M245" i="61"/>
  <c r="M215" i="61"/>
  <c r="M240" i="61"/>
  <c r="M249" i="61"/>
  <c r="M221" i="61"/>
  <c r="M247" i="61"/>
  <c r="M213" i="61"/>
  <c r="M210" i="61"/>
  <c r="M208" i="61"/>
  <c r="M253" i="61"/>
  <c r="M227" i="61"/>
  <c r="M229" i="61"/>
  <c r="M218" i="61"/>
  <c r="M251" i="61"/>
  <c r="AK221" i="61" l="1"/>
  <c r="BO221" i="61" s="1"/>
  <c r="AK248" i="61"/>
  <c r="BO248" i="61" s="1"/>
  <c r="AK241" i="61"/>
  <c r="BO241" i="61" s="1"/>
  <c r="AK247" i="61"/>
  <c r="BO247" i="61" s="1"/>
  <c r="AK232" i="61"/>
  <c r="BO232" i="61" s="1"/>
  <c r="AK226" i="61"/>
  <c r="BO226" i="61" s="1"/>
  <c r="AK251" i="61"/>
  <c r="BO251" i="61" s="1"/>
  <c r="AK215" i="61"/>
  <c r="BO215" i="61" s="1"/>
  <c r="AK227" i="61"/>
  <c r="BO227" i="61" s="1"/>
  <c r="AK208" i="61"/>
  <c r="BO208" i="61" s="1"/>
  <c r="AK211" i="61"/>
  <c r="BO211" i="61" s="1"/>
  <c r="AK213" i="61"/>
  <c r="BO213" i="61" s="1"/>
  <c r="AK245" i="61"/>
  <c r="BO245" i="61" s="1"/>
  <c r="AK210" i="61"/>
  <c r="BO210" i="61" s="1"/>
  <c r="AK229" i="61"/>
  <c r="BO229" i="61" s="1"/>
  <c r="AK218" i="61"/>
  <c r="BO218" i="61" s="1"/>
  <c r="AK249" i="61"/>
  <c r="BO249" i="61" s="1"/>
  <c r="AK222" i="61"/>
  <c r="BO222" i="61" s="1"/>
  <c r="AK253" i="61"/>
  <c r="BO253" i="61" s="1"/>
  <c r="AK240" i="61"/>
  <c r="BO240" i="61" s="1"/>
  <c r="O256" i="62" l="1"/>
  <c r="R9" i="62" l="1"/>
  <c r="R10" i="62"/>
  <c r="R11" i="62"/>
  <c r="R12" i="62"/>
  <c r="R13" i="62"/>
  <c r="R14" i="62"/>
  <c r="R15" i="62"/>
  <c r="R16" i="62"/>
  <c r="R17" i="62"/>
  <c r="R18" i="62"/>
  <c r="R19" i="62"/>
  <c r="R21" i="62"/>
  <c r="R22" i="62"/>
  <c r="R26" i="62"/>
  <c r="R28" i="62"/>
  <c r="R29" i="62"/>
  <c r="R30" i="62"/>
  <c r="R31" i="62"/>
  <c r="R32" i="62"/>
  <c r="R33" i="62"/>
  <c r="R36" i="62"/>
  <c r="R37" i="62"/>
  <c r="R38" i="62"/>
  <c r="R39" i="62"/>
  <c r="R40" i="62"/>
  <c r="R41" i="62"/>
  <c r="R42" i="62"/>
  <c r="R43" i="62"/>
  <c r="R44" i="62"/>
  <c r="R45" i="62"/>
  <c r="R46" i="62"/>
  <c r="R47" i="62"/>
  <c r="R48" i="62"/>
  <c r="R49" i="62"/>
  <c r="R50" i="62"/>
  <c r="R51" i="62"/>
  <c r="R52" i="62"/>
  <c r="R53" i="62"/>
  <c r="R54" i="62"/>
  <c r="R55" i="62"/>
  <c r="R56" i="62"/>
  <c r="R57" i="62"/>
  <c r="R58" i="62"/>
  <c r="R59" i="62"/>
  <c r="R60" i="62"/>
  <c r="R61" i="62"/>
  <c r="R62" i="62"/>
  <c r="R63" i="62"/>
  <c r="R64" i="62"/>
  <c r="R65" i="62"/>
  <c r="R66" i="62"/>
  <c r="R67" i="62"/>
  <c r="R68" i="62"/>
  <c r="R70" i="62"/>
  <c r="R71" i="62"/>
  <c r="R72" i="62"/>
  <c r="R73" i="62"/>
  <c r="R74" i="62"/>
  <c r="R75" i="62"/>
  <c r="R76" i="62"/>
  <c r="R77" i="62"/>
  <c r="R78" i="62"/>
  <c r="R80" i="62"/>
  <c r="R81" i="62"/>
  <c r="R84" i="62"/>
  <c r="R86" i="62"/>
  <c r="R87" i="62"/>
  <c r="R88" i="62"/>
  <c r="R90" i="62"/>
  <c r="R92" i="62"/>
  <c r="R93" i="62"/>
  <c r="R94" i="62"/>
  <c r="R95" i="62"/>
  <c r="R96" i="62"/>
  <c r="R97" i="62"/>
  <c r="R99" i="62"/>
  <c r="R100" i="62"/>
  <c r="R101" i="62"/>
  <c r="R102" i="62"/>
  <c r="R103" i="62"/>
  <c r="R104" i="62"/>
  <c r="R105" i="62"/>
  <c r="R106" i="62"/>
  <c r="R107" i="62"/>
  <c r="R108" i="62"/>
  <c r="R109" i="62"/>
  <c r="R110" i="62"/>
  <c r="R111" i="62"/>
  <c r="R112" i="62"/>
  <c r="R113" i="62"/>
  <c r="R114" i="62"/>
  <c r="R115" i="62"/>
  <c r="R116" i="62"/>
  <c r="R117" i="62"/>
  <c r="R118" i="62"/>
  <c r="R119" i="62"/>
  <c r="R120" i="62"/>
  <c r="R121" i="62"/>
  <c r="R122" i="62"/>
  <c r="R123" i="62"/>
  <c r="R124" i="62"/>
  <c r="R125" i="62"/>
  <c r="R126" i="62"/>
  <c r="R127" i="62"/>
  <c r="R128" i="62"/>
  <c r="R129" i="62"/>
  <c r="R131" i="62"/>
  <c r="R132" i="62"/>
  <c r="R133" i="62"/>
  <c r="R134" i="62"/>
  <c r="R135" i="62"/>
  <c r="R136" i="62"/>
  <c r="R137" i="62"/>
  <c r="R139" i="62"/>
  <c r="R140" i="62"/>
  <c r="R141" i="62"/>
  <c r="R142" i="62"/>
  <c r="R143" i="62"/>
  <c r="R144" i="62"/>
  <c r="R145" i="62"/>
  <c r="R146" i="62"/>
  <c r="R147" i="62"/>
  <c r="R148" i="62"/>
  <c r="R149" i="62"/>
  <c r="R150" i="62"/>
  <c r="R151" i="62"/>
  <c r="R153" i="62"/>
  <c r="R154" i="62"/>
  <c r="R155" i="62"/>
  <c r="R156" i="62"/>
  <c r="R158" i="62"/>
  <c r="R159" i="62"/>
  <c r="R164" i="62"/>
  <c r="R165" i="62"/>
  <c r="R166" i="62"/>
  <c r="R167" i="62"/>
  <c r="R168" i="62"/>
  <c r="R169" i="62"/>
  <c r="R170" i="62"/>
  <c r="R171" i="62"/>
  <c r="R173" i="62"/>
  <c r="R174" i="62"/>
  <c r="R176" i="62"/>
  <c r="R178" i="62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1" i="62"/>
  <c r="R212" i="62"/>
  <c r="R213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4" i="62"/>
  <c r="R235" i="62"/>
  <c r="R236" i="62"/>
  <c r="R238" i="62"/>
  <c r="R239" i="62"/>
  <c r="R241" i="62"/>
  <c r="R242" i="62"/>
  <c r="R243" i="62"/>
  <c r="R245" i="62"/>
  <c r="R246" i="62"/>
  <c r="R247" i="62"/>
  <c r="R249" i="62"/>
  <c r="R251" i="62"/>
  <c r="R252" i="62"/>
  <c r="R253" i="62"/>
  <c r="R254" i="62"/>
  <c r="P256" i="62" l="1"/>
  <c r="R8" i="62"/>
  <c r="R35" i="62"/>
  <c r="R24" i="62"/>
  <c r="R34" i="62"/>
  <c r="R23" i="62"/>
  <c r="R138" i="62"/>
  <c r="R69" i="62"/>
  <c r="R83" i="62"/>
  <c r="R161" i="62"/>
  <c r="R85" i="62"/>
  <c r="R210" i="62"/>
  <c r="R162" i="62"/>
  <c r="R177" i="62"/>
  <c r="R232" i="62"/>
  <c r="R175" i="62"/>
  <c r="R244" i="62"/>
  <c r="R79" i="62"/>
  <c r="R82" i="62"/>
  <c r="R172" i="62"/>
  <c r="R20" i="62"/>
  <c r="R89" i="62"/>
  <c r="R98" i="62"/>
  <c r="R237" i="62"/>
  <c r="R214" i="62"/>
  <c r="R233" i="62"/>
  <c r="R27" i="62"/>
  <c r="R240" i="62"/>
  <c r="R91" i="62"/>
  <c r="R157" i="62"/>
  <c r="R250" i="62"/>
  <c r="R248" i="62"/>
  <c r="R130" i="62"/>
  <c r="R25" i="62"/>
  <c r="R160" i="62"/>
  <c r="R163" i="62"/>
  <c r="Q256" i="62" l="1"/>
  <c r="R256" i="62"/>
  <c r="M256" i="62" l="1"/>
  <c r="H237" i="62" l="1"/>
  <c r="L256" i="62"/>
  <c r="J256" i="62"/>
  <c r="K256" i="62"/>
  <c r="H250" i="62"/>
  <c r="H242" i="62"/>
  <c r="H234" i="62"/>
  <c r="H226" i="62"/>
  <c r="H218" i="62"/>
  <c r="H210" i="62"/>
  <c r="H247" i="62"/>
  <c r="H244" i="62"/>
  <c r="H239" i="62"/>
  <c r="H236" i="62"/>
  <c r="H231" i="62"/>
  <c r="H223" i="62"/>
  <c r="H220" i="62"/>
  <c r="H215" i="62"/>
  <c r="H212" i="62"/>
  <c r="H229" i="62"/>
  <c r="H228" i="62"/>
  <c r="H213" i="62"/>
  <c r="H252" i="62"/>
  <c r="H253" i="62"/>
  <c r="H245" i="62"/>
  <c r="H241" i="62"/>
  <c r="H225" i="62"/>
  <c r="H217" i="62"/>
  <c r="H209" i="62"/>
  <c r="H254" i="62"/>
  <c r="H249" i="62"/>
  <c r="H233" i="62"/>
  <c r="H221" i="62"/>
  <c r="H246" i="62"/>
  <c r="H235" i="62"/>
  <c r="G256" i="62"/>
  <c r="H214" i="62"/>
  <c r="H238" i="62"/>
  <c r="H222" i="62"/>
  <c r="H211" i="62"/>
  <c r="H230" i="62"/>
  <c r="H243" i="62"/>
  <c r="H219" i="62"/>
  <c r="H248" i="62"/>
  <c r="H240" i="62"/>
  <c r="H232" i="62"/>
  <c r="H224" i="62"/>
  <c r="H216" i="62"/>
  <c r="H251" i="62"/>
  <c r="E256" i="62"/>
  <c r="H227" i="62"/>
  <c r="F256" i="62"/>
  <c r="D5" i="11" l="1"/>
  <c r="D4" i="11"/>
  <c r="M55" i="11" s="1"/>
  <c r="L18" i="11" l="1"/>
  <c r="L64" i="11"/>
  <c r="L65" i="11"/>
  <c r="L69" i="11"/>
  <c r="L66" i="11"/>
  <c r="L70" i="11"/>
  <c r="L68" i="11"/>
  <c r="L71" i="11"/>
  <c r="J14" i="11"/>
  <c r="L15" i="11"/>
  <c r="K16" i="11"/>
  <c r="K15" i="11"/>
  <c r="L14" i="11"/>
  <c r="K14" i="11"/>
  <c r="K71" i="11"/>
  <c r="K18" i="11"/>
  <c r="P50" i="11"/>
  <c r="J50" i="11"/>
  <c r="O50" i="11"/>
  <c r="N50" i="11"/>
  <c r="M50" i="11"/>
  <c r="L50" i="11"/>
  <c r="K50" i="11"/>
  <c r="J67" i="11"/>
  <c r="J55" i="11"/>
  <c r="I25" i="11"/>
  <c r="I24" i="11"/>
  <c r="I21" i="11"/>
  <c r="I23" i="11"/>
  <c r="I22" i="11"/>
  <c r="I20" i="11"/>
  <c r="I26" i="11"/>
  <c r="H71" i="11"/>
  <c r="I56" i="11"/>
  <c r="H18" i="11"/>
  <c r="H55" i="11"/>
  <c r="N23" i="11"/>
  <c r="J26" i="11"/>
  <c r="N21" i="11"/>
  <c r="J20" i="11"/>
  <c r="N25" i="11"/>
  <c r="J25" i="11"/>
  <c r="N22" i="11"/>
  <c r="J24" i="11"/>
  <c r="J23" i="11"/>
  <c r="N26" i="11"/>
  <c r="N24" i="11"/>
  <c r="N20" i="11"/>
  <c r="J22" i="11"/>
  <c r="J21" i="11"/>
  <c r="E25" i="11"/>
  <c r="E20" i="11"/>
  <c r="E26" i="11"/>
  <c r="E24" i="11"/>
  <c r="E23" i="11"/>
  <c r="E22" i="11"/>
  <c r="E21" i="11"/>
  <c r="H57" i="11"/>
  <c r="I57" i="11"/>
  <c r="G57" i="11"/>
  <c r="F57" i="11"/>
  <c r="K58" i="11"/>
  <c r="I58" i="11"/>
  <c r="L58" i="11"/>
  <c r="G58" i="11"/>
  <c r="M58" i="11"/>
  <c r="F58" i="11"/>
  <c r="N58" i="11"/>
  <c r="O58" i="11"/>
  <c r="P58" i="11"/>
  <c r="J58" i="11"/>
  <c r="H58" i="11"/>
  <c r="D19" i="11"/>
  <c r="R19" i="11" s="1"/>
  <c r="D18" i="11"/>
  <c r="D15" i="11"/>
  <c r="D17" i="11"/>
  <c r="D16" i="11"/>
  <c r="D14" i="11"/>
  <c r="E15" i="11"/>
  <c r="O40" i="11" l="1"/>
  <c r="P40" i="11"/>
  <c r="M40" i="11"/>
  <c r="L40" i="11"/>
  <c r="N40" i="11"/>
  <c r="N37" i="11"/>
  <c r="O37" i="11"/>
  <c r="P37" i="11"/>
  <c r="M37" i="11"/>
  <c r="L37" i="11"/>
  <c r="O36" i="11"/>
  <c r="P36" i="11"/>
  <c r="M36" i="11"/>
  <c r="L36" i="11"/>
  <c r="N36" i="11"/>
  <c r="K36" i="11"/>
  <c r="M38" i="11"/>
  <c r="N38" i="11"/>
  <c r="P38" i="11"/>
  <c r="L38" i="11"/>
  <c r="O38" i="11"/>
  <c r="K38" i="11"/>
  <c r="K37" i="11"/>
  <c r="S50" i="11"/>
  <c r="K40" i="11"/>
  <c r="Q50" i="11"/>
  <c r="J40" i="11"/>
  <c r="I40" i="11"/>
  <c r="H40" i="11"/>
  <c r="H41" i="11"/>
  <c r="I41" i="11"/>
  <c r="F41" i="11"/>
  <c r="G41" i="11"/>
  <c r="E41" i="11"/>
  <c r="E37" i="11"/>
  <c r="Q41" i="11" l="1"/>
  <c r="S41" i="11"/>
  <c r="F27" i="11"/>
  <c r="H27" i="11"/>
  <c r="I27" i="11"/>
  <c r="K27" i="11"/>
  <c r="L27" i="11"/>
  <c r="M27" i="11"/>
  <c r="O27" i="11"/>
  <c r="P27" i="11"/>
  <c r="AY205" i="49"/>
  <c r="DJ80" i="61" l="1"/>
  <c r="DJ112" i="61"/>
  <c r="DJ184" i="61"/>
  <c r="DJ9" i="61"/>
  <c r="DJ10" i="61"/>
  <c r="DJ11" i="61"/>
  <c r="DJ12" i="61"/>
  <c r="DJ13" i="61"/>
  <c r="DJ14" i="61"/>
  <c r="DJ15" i="61"/>
  <c r="DJ16" i="61"/>
  <c r="DJ17" i="61"/>
  <c r="DJ18" i="61"/>
  <c r="DJ19" i="61"/>
  <c r="DJ20" i="61"/>
  <c r="DJ21" i="61"/>
  <c r="DJ22" i="61"/>
  <c r="DJ23" i="61"/>
  <c r="DJ24" i="61"/>
  <c r="DJ25" i="61"/>
  <c r="DJ26" i="61"/>
  <c r="DJ27" i="61"/>
  <c r="DJ28" i="61"/>
  <c r="DJ29" i="61"/>
  <c r="DJ30" i="61"/>
  <c r="DJ31" i="61"/>
  <c r="DJ32" i="61"/>
  <c r="DJ33" i="61"/>
  <c r="DJ34" i="61"/>
  <c r="DJ35" i="61"/>
  <c r="DJ36" i="61"/>
  <c r="DJ37" i="61"/>
  <c r="DJ38" i="61"/>
  <c r="DJ39" i="61"/>
  <c r="DJ40" i="61"/>
  <c r="DJ41" i="61"/>
  <c r="DJ42" i="61"/>
  <c r="DJ43" i="61"/>
  <c r="DJ44" i="61"/>
  <c r="DJ45" i="61"/>
  <c r="DJ46" i="61"/>
  <c r="DJ47" i="61"/>
  <c r="DJ48" i="61"/>
  <c r="DJ49" i="61"/>
  <c r="DJ50" i="61"/>
  <c r="DJ51" i="61"/>
  <c r="DJ52" i="61"/>
  <c r="DJ53" i="61"/>
  <c r="DJ54" i="61"/>
  <c r="DJ55" i="61"/>
  <c r="DJ56" i="61"/>
  <c r="DJ57" i="61"/>
  <c r="DJ58" i="61"/>
  <c r="DJ59" i="61"/>
  <c r="DJ60" i="61"/>
  <c r="DJ61" i="61"/>
  <c r="DJ62" i="61"/>
  <c r="DJ63" i="61"/>
  <c r="DJ64" i="61"/>
  <c r="DJ65" i="61"/>
  <c r="DJ66" i="61"/>
  <c r="DJ67" i="61"/>
  <c r="DJ68" i="61"/>
  <c r="DJ69" i="61"/>
  <c r="DJ70" i="61"/>
  <c r="DJ71" i="61"/>
  <c r="DJ72" i="61"/>
  <c r="DJ73" i="61"/>
  <c r="DJ74" i="61"/>
  <c r="DJ75" i="61"/>
  <c r="DJ76" i="61"/>
  <c r="DJ77" i="61"/>
  <c r="DJ78" i="61"/>
  <c r="DJ79" i="61"/>
  <c r="DJ81" i="61"/>
  <c r="DJ82" i="61"/>
  <c r="DJ83" i="61"/>
  <c r="DJ84" i="61"/>
  <c r="DJ85" i="61"/>
  <c r="DJ86" i="61"/>
  <c r="DJ87" i="61"/>
  <c r="DJ88" i="61"/>
  <c r="DJ89" i="61"/>
  <c r="DJ90" i="61"/>
  <c r="DJ91" i="61"/>
  <c r="DJ92" i="61"/>
  <c r="DJ93" i="61"/>
  <c r="DJ94" i="61"/>
  <c r="DJ95" i="61"/>
  <c r="DJ96" i="61"/>
  <c r="DJ97" i="61"/>
  <c r="DJ98" i="61"/>
  <c r="DJ99" i="61"/>
  <c r="DJ100" i="61"/>
  <c r="DJ101" i="61"/>
  <c r="DJ102" i="61"/>
  <c r="DJ103" i="61"/>
  <c r="DJ104" i="61"/>
  <c r="DJ105" i="61"/>
  <c r="DJ106" i="61"/>
  <c r="DJ107" i="61"/>
  <c r="DJ108" i="61"/>
  <c r="DJ109" i="61"/>
  <c r="DJ110" i="61"/>
  <c r="DJ111" i="61"/>
  <c r="DJ113" i="61"/>
  <c r="DJ114" i="61"/>
  <c r="DJ115" i="61"/>
  <c r="DJ116" i="61"/>
  <c r="DJ117" i="61"/>
  <c r="DJ118" i="61"/>
  <c r="DJ119" i="61"/>
  <c r="DJ120" i="61"/>
  <c r="DJ121" i="61"/>
  <c r="DJ122" i="61"/>
  <c r="DJ123" i="61"/>
  <c r="DJ124" i="61"/>
  <c r="DJ125" i="61"/>
  <c r="DJ126" i="61"/>
  <c r="DJ127" i="61"/>
  <c r="DJ128" i="61"/>
  <c r="DJ129" i="61"/>
  <c r="DJ130" i="61"/>
  <c r="DJ131" i="61"/>
  <c r="DJ132" i="61"/>
  <c r="DJ133" i="61"/>
  <c r="DJ134" i="61"/>
  <c r="DJ135" i="61"/>
  <c r="DJ136" i="61"/>
  <c r="DJ137" i="61"/>
  <c r="DJ138" i="61"/>
  <c r="DJ139" i="61"/>
  <c r="DJ140" i="61"/>
  <c r="DJ141" i="61"/>
  <c r="DJ142" i="61"/>
  <c r="DJ143" i="61"/>
  <c r="DJ144" i="61"/>
  <c r="DJ145" i="61"/>
  <c r="DJ146" i="61"/>
  <c r="DJ147" i="61"/>
  <c r="DJ148" i="61"/>
  <c r="DJ149" i="61"/>
  <c r="DJ150" i="61"/>
  <c r="DJ151" i="61"/>
  <c r="DJ152" i="61"/>
  <c r="DJ153" i="61"/>
  <c r="DJ154" i="61"/>
  <c r="DJ155" i="61"/>
  <c r="DJ156" i="61"/>
  <c r="DJ157" i="61"/>
  <c r="DJ158" i="61"/>
  <c r="DJ159" i="61"/>
  <c r="DJ160" i="61"/>
  <c r="DJ161" i="61"/>
  <c r="DJ162" i="61"/>
  <c r="DJ163" i="61"/>
  <c r="DJ164" i="61"/>
  <c r="DJ165" i="61"/>
  <c r="DJ166" i="61"/>
  <c r="DJ167" i="61"/>
  <c r="DJ168" i="61"/>
  <c r="DJ169" i="61"/>
  <c r="DJ170" i="61"/>
  <c r="DJ171" i="61"/>
  <c r="DJ172" i="61"/>
  <c r="DJ173" i="61"/>
  <c r="DJ174" i="61"/>
  <c r="DJ175" i="61"/>
  <c r="DJ176" i="61"/>
  <c r="DJ177" i="61"/>
  <c r="DJ178" i="61"/>
  <c r="DJ179" i="61"/>
  <c r="DJ180" i="61"/>
  <c r="DJ181" i="61"/>
  <c r="DJ182" i="61"/>
  <c r="DJ183" i="61"/>
  <c r="DJ185" i="61"/>
  <c r="DJ186" i="61"/>
  <c r="DJ187" i="61"/>
  <c r="DJ188" i="61"/>
  <c r="DJ189" i="61"/>
  <c r="DJ190" i="61"/>
  <c r="DJ191" i="61"/>
  <c r="DJ192" i="61"/>
  <c r="DJ193" i="61"/>
  <c r="DJ194" i="61"/>
  <c r="DJ195" i="61"/>
  <c r="DJ196" i="61"/>
  <c r="DJ197" i="61"/>
  <c r="DJ198" i="61"/>
  <c r="DJ199" i="61"/>
  <c r="DJ200" i="61"/>
  <c r="DJ201" i="61"/>
  <c r="DJ202" i="61"/>
  <c r="DJ203" i="61"/>
  <c r="DJ204" i="61"/>
  <c r="DJ205" i="61"/>
  <c r="DJ206" i="61"/>
  <c r="DJ207" i="61"/>
  <c r="DJ8" i="61" l="1"/>
  <c r="U7" i="66" l="1"/>
  <c r="V7" i="66"/>
  <c r="W7" i="66"/>
  <c r="X7" i="66"/>
  <c r="Y7" i="66"/>
  <c r="Z7" i="66"/>
  <c r="AA7" i="66"/>
  <c r="S10" i="66" l="1"/>
  <c r="S8" i="66" l="1"/>
  <c r="S40" i="66"/>
  <c r="S140" i="66"/>
  <c r="S61" i="66"/>
  <c r="S134" i="66"/>
  <c r="S117" i="66"/>
  <c r="S183" i="66"/>
  <c r="S31" i="66"/>
  <c r="S107" i="66"/>
  <c r="S41" i="66"/>
  <c r="S146" i="66"/>
  <c r="S62" i="66"/>
  <c r="S137" i="66"/>
  <c r="S119" i="66"/>
  <c r="S184" i="66"/>
  <c r="S67" i="66"/>
  <c r="S86" i="66"/>
  <c r="S29" i="66"/>
  <c r="S116" i="66"/>
  <c r="S33" i="66"/>
  <c r="S120" i="66"/>
  <c r="S93" i="66"/>
  <c r="S181" i="66"/>
  <c r="S104" i="66"/>
  <c r="S124" i="66"/>
  <c r="S14" i="66"/>
  <c r="S94" i="66"/>
  <c r="S12" i="66"/>
  <c r="S100" i="66"/>
  <c r="S56" i="66"/>
  <c r="S170" i="66"/>
  <c r="S202" i="66"/>
  <c r="S77" i="66"/>
  <c r="S160" i="66"/>
  <c r="S125" i="66"/>
  <c r="S22" i="66"/>
  <c r="S180" i="66"/>
  <c r="S84" i="66"/>
  <c r="S78" i="66"/>
  <c r="S83" i="66"/>
  <c r="S38" i="66"/>
  <c r="S154" i="66"/>
  <c r="S196" i="66"/>
  <c r="S43" i="66"/>
  <c r="S23" i="66"/>
  <c r="S68" i="66"/>
  <c r="S159" i="66"/>
  <c r="S141" i="66"/>
  <c r="S187" i="66"/>
  <c r="S71" i="66"/>
  <c r="S161" i="66"/>
  <c r="S13" i="66"/>
  <c r="S142" i="66"/>
  <c r="S192" i="66"/>
  <c r="S157" i="66"/>
  <c r="S54" i="66"/>
  <c r="S46" i="66"/>
  <c r="S149" i="66"/>
  <c r="S63" i="66"/>
  <c r="S148" i="66"/>
  <c r="S121" i="66"/>
  <c r="S185" i="66"/>
  <c r="S103" i="66"/>
  <c r="S90" i="66"/>
  <c r="S30" i="66"/>
  <c r="S127" i="66"/>
  <c r="S44" i="66"/>
  <c r="S122" i="66"/>
  <c r="S102" i="66"/>
  <c r="S177" i="66"/>
  <c r="S15" i="66"/>
  <c r="S96" i="66"/>
  <c r="S16" i="66"/>
  <c r="S57" i="66"/>
  <c r="S138" i="66"/>
  <c r="S20" i="66"/>
  <c r="S101" i="66"/>
  <c r="S17" i="66"/>
  <c r="S106" i="66"/>
  <c r="S59" i="66"/>
  <c r="S172" i="66"/>
  <c r="S204" i="66"/>
  <c r="S87" i="66"/>
  <c r="S19" i="66"/>
  <c r="S21" i="66"/>
  <c r="S130" i="66"/>
  <c r="S76" i="66"/>
  <c r="S39" i="66"/>
  <c r="S131" i="66"/>
  <c r="S182" i="66"/>
  <c r="S156" i="66"/>
  <c r="S70" i="66"/>
  <c r="S45" i="66"/>
  <c r="S199" i="66"/>
  <c r="S55" i="66"/>
  <c r="S7" i="66"/>
  <c r="S51" i="66"/>
  <c r="S200" i="66"/>
  <c r="S168" i="66"/>
  <c r="S165" i="66"/>
  <c r="S18" i="66"/>
  <c r="S193" i="66"/>
  <c r="S109" i="66"/>
  <c r="S47" i="66"/>
  <c r="S150" i="66"/>
  <c r="S64" i="66"/>
  <c r="S153" i="66"/>
  <c r="S123" i="66"/>
  <c r="S186" i="66"/>
  <c r="S32" i="66"/>
  <c r="S132" i="66"/>
  <c r="S49" i="66"/>
  <c r="S171" i="66"/>
  <c r="S73" i="66"/>
  <c r="S34" i="66"/>
  <c r="S133" i="66"/>
  <c r="S53" i="66"/>
  <c r="S126" i="66"/>
  <c r="S108" i="66"/>
  <c r="S179" i="66"/>
  <c r="S42" i="66"/>
  <c r="S95" i="66"/>
  <c r="S111" i="66"/>
  <c r="S110" i="66"/>
  <c r="S66" i="66"/>
  <c r="S139" i="66"/>
  <c r="S58" i="66"/>
  <c r="S114" i="66"/>
  <c r="S128" i="66"/>
  <c r="S88" i="66"/>
  <c r="S97" i="66"/>
  <c r="S164" i="66"/>
  <c r="S205" i="66"/>
  <c r="S91" i="66"/>
  <c r="S98" i="66"/>
  <c r="S167" i="66"/>
  <c r="S147" i="66"/>
  <c r="S72" i="66"/>
  <c r="S80" i="66"/>
  <c r="S144" i="66"/>
  <c r="S178" i="66"/>
  <c r="S198" i="66"/>
  <c r="S174" i="66"/>
  <c r="S11" i="66"/>
  <c r="S60" i="66"/>
  <c r="S169" i="66"/>
  <c r="S190" i="66"/>
  <c r="S24" i="66"/>
  <c r="S112" i="66"/>
  <c r="S85" i="66"/>
  <c r="S207" i="66"/>
  <c r="S25" i="66"/>
  <c r="S115" i="66"/>
  <c r="S89" i="66"/>
  <c r="S208" i="66"/>
  <c r="S173" i="66"/>
  <c r="S9" i="66"/>
  <c r="S52" i="66"/>
  <c r="S201" i="66"/>
  <c r="S35" i="66"/>
  <c r="S74" i="66"/>
  <c r="S166" i="66"/>
  <c r="S81" i="66"/>
  <c r="S145" i="66"/>
  <c r="S194" i="66"/>
  <c r="S48" i="66"/>
  <c r="S151" i="66"/>
  <c r="S82" i="66"/>
  <c r="S195" i="66"/>
  <c r="S65" i="66"/>
  <c r="S50" i="66"/>
  <c r="S152" i="66"/>
  <c r="S69" i="66"/>
  <c r="S163" i="66"/>
  <c r="S129" i="66"/>
  <c r="S188" i="66"/>
  <c r="S189" i="66"/>
  <c r="S162" i="66"/>
  <c r="S206" i="66"/>
  <c r="S191" i="66"/>
  <c r="S135" i="66"/>
  <c r="S79" i="66"/>
  <c r="S158" i="66"/>
  <c r="S75" i="66"/>
  <c r="S136" i="66"/>
  <c r="S105" i="66"/>
  <c r="S26" i="66"/>
  <c r="S113" i="66"/>
  <c r="S175" i="66"/>
  <c r="S155" i="66"/>
  <c r="S28" i="66"/>
  <c r="S118" i="66"/>
  <c r="S176" i="66"/>
  <c r="S203" i="66"/>
  <c r="S92" i="66"/>
  <c r="S99" i="66"/>
  <c r="S143" i="66"/>
  <c r="S197" i="66"/>
  <c r="S27" i="66"/>
  <c r="H105" i="62" l="1"/>
  <c r="H107" i="62"/>
  <c r="H109" i="62"/>
  <c r="H111" i="62"/>
  <c r="H114" i="62"/>
  <c r="H118" i="62"/>
  <c r="H120" i="62"/>
  <c r="H8" i="62"/>
  <c r="H9" i="62"/>
  <c r="H10" i="62"/>
  <c r="H11" i="62"/>
  <c r="H12" i="62"/>
  <c r="H13" i="62"/>
  <c r="H14" i="62"/>
  <c r="H15" i="62"/>
  <c r="H16" i="62"/>
  <c r="H17" i="62"/>
  <c r="H18" i="62"/>
  <c r="H19" i="62"/>
  <c r="H20" i="62"/>
  <c r="H21" i="62"/>
  <c r="H22" i="62"/>
  <c r="H23" i="62"/>
  <c r="H24" i="62"/>
  <c r="H25" i="62"/>
  <c r="H26" i="62"/>
  <c r="H27" i="62"/>
  <c r="H28" i="62"/>
  <c r="H29" i="62"/>
  <c r="H30" i="62"/>
  <c r="H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2" i="62"/>
  <c r="H63" i="62"/>
  <c r="H64" i="62"/>
  <c r="H65" i="62"/>
  <c r="H66" i="62"/>
  <c r="H67" i="62"/>
  <c r="H68" i="62"/>
  <c r="H69" i="62"/>
  <c r="H70" i="62"/>
  <c r="H71" i="62"/>
  <c r="H72" i="62"/>
  <c r="H73" i="62"/>
  <c r="H74" i="62"/>
  <c r="H75" i="62"/>
  <c r="H76" i="62"/>
  <c r="H77" i="62"/>
  <c r="H78" i="62"/>
  <c r="H79" i="62"/>
  <c r="H80" i="62"/>
  <c r="H81" i="62"/>
  <c r="H82" i="62"/>
  <c r="H83" i="62"/>
  <c r="H84" i="62"/>
  <c r="H85" i="62"/>
  <c r="H86" i="62"/>
  <c r="H87" i="62"/>
  <c r="H88" i="62"/>
  <c r="H89" i="62"/>
  <c r="H90" i="62"/>
  <c r="H91" i="62"/>
  <c r="H92" i="62"/>
  <c r="H93" i="62"/>
  <c r="H94" i="62"/>
  <c r="H95" i="62"/>
  <c r="H96" i="62"/>
  <c r="H97" i="62"/>
  <c r="H98" i="62"/>
  <c r="H99" i="62"/>
  <c r="H100" i="62"/>
  <c r="H101" i="62"/>
  <c r="H102" i="62"/>
  <c r="H103" i="62"/>
  <c r="H104" i="62"/>
  <c r="H106" i="62"/>
  <c r="H108" i="62"/>
  <c r="H110" i="62"/>
  <c r="H112" i="62"/>
  <c r="H113" i="62"/>
  <c r="H115" i="62"/>
  <c r="H116" i="62"/>
  <c r="H117" i="62"/>
  <c r="H119" i="62"/>
  <c r="H121" i="62"/>
  <c r="H122" i="62"/>
  <c r="H123" i="62"/>
  <c r="H124" i="62"/>
  <c r="H125" i="62"/>
  <c r="H126" i="62"/>
  <c r="H127" i="62"/>
  <c r="H128" i="62"/>
  <c r="H129" i="62"/>
  <c r="H130" i="62"/>
  <c r="H131" i="62"/>
  <c r="H132" i="62"/>
  <c r="H133" i="62"/>
  <c r="H134" i="62"/>
  <c r="H135" i="62"/>
  <c r="H136" i="62"/>
  <c r="H137" i="62"/>
  <c r="H138" i="62"/>
  <c r="H139" i="62"/>
  <c r="H140" i="62"/>
  <c r="H141" i="62"/>
  <c r="H142" i="62"/>
  <c r="H143" i="62"/>
  <c r="H144" i="62"/>
  <c r="H145" i="62"/>
  <c r="H146" i="62"/>
  <c r="H147" i="62"/>
  <c r="H148" i="62"/>
  <c r="H149" i="62"/>
  <c r="H150" i="62"/>
  <c r="H151" i="62"/>
  <c r="H153" i="62"/>
  <c r="H154" i="62"/>
  <c r="H155" i="62"/>
  <c r="H156" i="62"/>
  <c r="H157" i="62"/>
  <c r="H158" i="62"/>
  <c r="H159" i="62"/>
  <c r="H160" i="62"/>
  <c r="H161" i="62"/>
  <c r="H162" i="62"/>
  <c r="H163" i="62"/>
  <c r="H164" i="62"/>
  <c r="H165" i="62"/>
  <c r="H166" i="62"/>
  <c r="H167" i="62"/>
  <c r="H168" i="62"/>
  <c r="H169" i="62"/>
  <c r="H170" i="62"/>
  <c r="H171" i="62"/>
  <c r="H172" i="62"/>
  <c r="H173" i="62"/>
  <c r="H174" i="62"/>
  <c r="H175" i="62"/>
  <c r="H176" i="62"/>
  <c r="H177" i="62"/>
  <c r="H178" i="62"/>
  <c r="H179" i="62"/>
  <c r="H180" i="62"/>
  <c r="H181" i="62"/>
  <c r="H182" i="62"/>
  <c r="H183" i="62"/>
  <c r="H184" i="62"/>
  <c r="H185" i="62"/>
  <c r="H186" i="62"/>
  <c r="H187" i="62"/>
  <c r="H188" i="62"/>
  <c r="H189" i="62"/>
  <c r="H190" i="62"/>
  <c r="H191" i="62"/>
  <c r="H192" i="62"/>
  <c r="H193" i="62"/>
  <c r="H194" i="62"/>
  <c r="H195" i="62"/>
  <c r="H196" i="62"/>
  <c r="H197" i="62"/>
  <c r="H198" i="62"/>
  <c r="H199" i="62"/>
  <c r="H200" i="62"/>
  <c r="H201" i="62"/>
  <c r="H202" i="62"/>
  <c r="H203" i="62"/>
  <c r="H204" i="62"/>
  <c r="H205" i="62"/>
  <c r="H206" i="62"/>
  <c r="H207" i="62"/>
  <c r="H208" i="62"/>
  <c r="H256" i="62" l="1"/>
  <c r="DK9" i="61" l="1"/>
  <c r="DK10" i="61"/>
  <c r="DK11" i="61"/>
  <c r="DK12" i="61"/>
  <c r="DK13" i="61"/>
  <c r="DK14" i="61"/>
  <c r="DK15" i="61"/>
  <c r="DK16" i="61"/>
  <c r="DK17" i="61"/>
  <c r="DK18" i="61"/>
  <c r="DK19" i="61"/>
  <c r="DK20" i="61"/>
  <c r="DK21" i="61"/>
  <c r="DK22" i="61"/>
  <c r="DK23" i="61"/>
  <c r="DK24" i="61"/>
  <c r="DK25" i="61"/>
  <c r="DK26" i="61"/>
  <c r="DK27" i="61"/>
  <c r="DK28" i="61"/>
  <c r="DK29" i="61"/>
  <c r="DK30" i="61"/>
  <c r="DK31" i="61"/>
  <c r="DK32" i="61"/>
  <c r="DK33" i="61"/>
  <c r="DK34" i="61"/>
  <c r="DK35" i="61"/>
  <c r="DK36" i="61"/>
  <c r="DK37" i="61"/>
  <c r="DK38" i="61"/>
  <c r="DK39" i="61"/>
  <c r="DK40" i="61"/>
  <c r="DK41" i="61"/>
  <c r="DK42" i="61"/>
  <c r="DK43" i="61"/>
  <c r="DK44" i="61"/>
  <c r="DK45" i="61"/>
  <c r="DK46" i="61"/>
  <c r="DK47" i="61"/>
  <c r="DK48" i="61"/>
  <c r="DK49" i="61"/>
  <c r="DK50" i="61"/>
  <c r="DK51" i="61"/>
  <c r="DK52" i="61"/>
  <c r="DK53" i="61"/>
  <c r="DK54" i="61"/>
  <c r="DK55" i="61"/>
  <c r="DK56" i="61"/>
  <c r="DK57" i="61"/>
  <c r="DK58" i="61"/>
  <c r="DK59" i="61"/>
  <c r="DK60" i="61"/>
  <c r="DK61" i="61"/>
  <c r="DK62" i="61"/>
  <c r="DK63" i="61"/>
  <c r="DK64" i="61"/>
  <c r="DK65" i="61"/>
  <c r="DK66" i="61"/>
  <c r="DK67" i="61"/>
  <c r="DK68" i="61"/>
  <c r="DK69" i="61"/>
  <c r="DK70" i="61"/>
  <c r="DK71" i="61"/>
  <c r="DK72" i="61"/>
  <c r="DK73" i="61"/>
  <c r="DK74" i="61"/>
  <c r="DK75" i="61"/>
  <c r="DK76" i="61"/>
  <c r="DK77" i="61"/>
  <c r="DK78" i="61"/>
  <c r="DK79" i="61"/>
  <c r="DK80" i="61"/>
  <c r="DK81" i="61"/>
  <c r="DK82" i="61"/>
  <c r="DK83" i="61"/>
  <c r="DK84" i="61"/>
  <c r="DK85" i="61"/>
  <c r="DK86" i="61"/>
  <c r="DK87" i="61"/>
  <c r="DK88" i="61"/>
  <c r="DK89" i="61"/>
  <c r="DK90" i="61"/>
  <c r="DK91" i="61"/>
  <c r="DK92" i="61"/>
  <c r="DK93" i="61"/>
  <c r="DK94" i="61"/>
  <c r="DK95" i="61"/>
  <c r="DK96" i="61"/>
  <c r="DK97" i="61"/>
  <c r="DK98" i="61"/>
  <c r="DK99" i="61"/>
  <c r="DK100" i="61"/>
  <c r="DK101" i="61"/>
  <c r="DK102" i="61"/>
  <c r="DK103" i="61"/>
  <c r="DK104" i="61"/>
  <c r="DK105" i="61"/>
  <c r="DK106" i="61"/>
  <c r="DK107" i="61"/>
  <c r="DK108" i="61"/>
  <c r="DK109" i="61"/>
  <c r="DK110" i="61"/>
  <c r="DK111" i="61"/>
  <c r="DK112" i="61"/>
  <c r="DK113" i="61"/>
  <c r="DK114" i="61"/>
  <c r="DK115" i="61"/>
  <c r="DK116" i="61"/>
  <c r="DK117" i="61"/>
  <c r="DK118" i="61"/>
  <c r="DK119" i="61"/>
  <c r="DK120" i="61"/>
  <c r="DK121" i="61"/>
  <c r="DK122" i="61"/>
  <c r="DK123" i="61"/>
  <c r="DK124" i="61"/>
  <c r="DK125" i="61"/>
  <c r="DK126" i="61"/>
  <c r="DK127" i="61"/>
  <c r="DK128" i="61"/>
  <c r="DK129" i="61"/>
  <c r="DK130" i="61"/>
  <c r="DK131" i="61"/>
  <c r="DK132" i="61"/>
  <c r="DK133" i="61"/>
  <c r="DK134" i="61"/>
  <c r="DK135" i="61"/>
  <c r="DK136" i="61"/>
  <c r="DK137" i="61"/>
  <c r="DK138" i="61"/>
  <c r="DK139" i="61"/>
  <c r="DK140" i="61"/>
  <c r="DK141" i="61"/>
  <c r="DK142" i="61"/>
  <c r="DK143" i="61"/>
  <c r="DK144" i="61"/>
  <c r="DK145" i="61"/>
  <c r="DK146" i="61"/>
  <c r="DK147" i="61"/>
  <c r="DK148" i="61"/>
  <c r="DK149" i="61"/>
  <c r="DK150" i="61"/>
  <c r="DK151" i="61"/>
  <c r="DK152" i="61"/>
  <c r="DK153" i="61"/>
  <c r="DK154" i="61"/>
  <c r="DK155" i="61"/>
  <c r="DK156" i="61"/>
  <c r="DK157" i="61"/>
  <c r="DK158" i="61"/>
  <c r="DK159" i="61"/>
  <c r="DK160" i="61"/>
  <c r="DK161" i="61"/>
  <c r="DK162" i="61"/>
  <c r="DK163" i="61"/>
  <c r="DK164" i="61"/>
  <c r="DK165" i="61"/>
  <c r="DK166" i="61"/>
  <c r="DK167" i="61"/>
  <c r="DK168" i="61"/>
  <c r="DK169" i="61"/>
  <c r="DK170" i="61"/>
  <c r="DK171" i="61"/>
  <c r="DK172" i="61"/>
  <c r="DK173" i="61"/>
  <c r="DK174" i="61"/>
  <c r="DK175" i="61"/>
  <c r="DK176" i="61"/>
  <c r="DK177" i="61"/>
  <c r="DK178" i="61"/>
  <c r="DK179" i="61"/>
  <c r="DK180" i="61"/>
  <c r="DK181" i="61"/>
  <c r="DK182" i="61"/>
  <c r="DK183" i="61"/>
  <c r="DK184" i="61"/>
  <c r="DK185" i="61"/>
  <c r="DK186" i="61"/>
  <c r="DK187" i="61"/>
  <c r="DK188" i="61"/>
  <c r="DK189" i="61"/>
  <c r="DK190" i="61"/>
  <c r="DK191" i="61"/>
  <c r="DK192" i="61"/>
  <c r="DK193" i="61"/>
  <c r="DK194" i="61"/>
  <c r="DK195" i="61"/>
  <c r="DK196" i="61"/>
  <c r="DK197" i="61"/>
  <c r="DK198" i="61"/>
  <c r="DK199" i="61"/>
  <c r="DK200" i="61"/>
  <c r="DK201" i="61"/>
  <c r="DK202" i="61"/>
  <c r="DK203" i="61"/>
  <c r="DK204" i="61"/>
  <c r="DK205" i="61"/>
  <c r="DK206" i="61"/>
  <c r="DK207" i="61"/>
  <c r="DK8" i="61"/>
  <c r="AM9" i="61" l="1"/>
  <c r="AM10" i="61"/>
  <c r="AM12" i="61"/>
  <c r="AM16" i="61"/>
  <c r="AM17" i="61"/>
  <c r="AM18" i="61"/>
  <c r="AM20" i="61"/>
  <c r="AM21" i="61"/>
  <c r="AM24" i="61"/>
  <c r="AM25" i="61"/>
  <c r="AM27" i="61"/>
  <c r="AM28" i="61"/>
  <c r="AM31" i="61"/>
  <c r="AM33" i="61"/>
  <c r="AM35" i="61"/>
  <c r="AM36" i="61"/>
  <c r="AM41" i="61"/>
  <c r="AM43" i="61"/>
  <c r="AM45" i="61"/>
  <c r="AM47" i="61"/>
  <c r="AM48" i="61"/>
  <c r="AM51" i="61"/>
  <c r="AM53" i="61"/>
  <c r="AM55" i="61"/>
  <c r="AM56" i="61"/>
  <c r="AM58" i="61"/>
  <c r="AM59" i="61"/>
  <c r="AM62" i="61"/>
  <c r="AM65" i="61"/>
  <c r="AM66" i="61"/>
  <c r="AM70" i="61"/>
  <c r="AM71" i="61"/>
  <c r="AM73" i="61"/>
  <c r="AM77" i="61"/>
  <c r="AM81" i="61"/>
  <c r="AM82" i="61"/>
  <c r="AM83" i="61"/>
  <c r="AM84" i="61"/>
  <c r="AM86" i="61"/>
  <c r="AM87" i="61"/>
  <c r="AM88" i="61"/>
  <c r="AM90" i="61"/>
  <c r="AM92" i="61"/>
  <c r="AM93" i="61"/>
  <c r="AM94" i="61"/>
  <c r="AM95" i="61"/>
  <c r="AM98" i="61"/>
  <c r="AM100" i="61"/>
  <c r="AM104" i="61"/>
  <c r="AM105" i="61"/>
  <c r="AM107" i="61"/>
  <c r="AM110" i="61"/>
  <c r="AM111" i="61"/>
  <c r="AM115" i="61"/>
  <c r="AM117" i="61"/>
  <c r="AM118" i="61"/>
  <c r="AM119" i="61"/>
  <c r="AM120" i="61"/>
  <c r="AM121" i="61"/>
  <c r="AM123" i="61"/>
  <c r="AM127" i="61"/>
  <c r="AM129" i="61"/>
  <c r="AM130" i="61"/>
  <c r="AM132" i="61"/>
  <c r="AM133" i="61"/>
  <c r="AM135" i="61"/>
  <c r="AM136" i="61"/>
  <c r="AM137" i="61"/>
  <c r="AM138" i="61"/>
  <c r="AM140" i="61"/>
  <c r="AM143" i="61"/>
  <c r="AM144" i="61"/>
  <c r="AM146" i="61"/>
  <c r="AM147" i="61"/>
  <c r="AM148" i="61"/>
  <c r="AM149" i="61"/>
  <c r="AM151" i="61"/>
  <c r="AM153" i="61"/>
  <c r="AM158" i="61"/>
  <c r="AM161" i="61"/>
  <c r="AM162" i="61"/>
  <c r="AM164" i="61"/>
  <c r="AM165" i="61"/>
  <c r="AM166" i="61"/>
  <c r="AM170" i="61"/>
  <c r="AM172" i="61"/>
  <c r="AM173" i="61"/>
  <c r="AM175" i="61"/>
  <c r="AM177" i="61"/>
  <c r="AM178" i="61"/>
  <c r="AM179" i="61"/>
  <c r="AM181" i="61"/>
  <c r="AM182" i="61"/>
  <c r="AM183" i="61"/>
  <c r="AM184" i="61"/>
  <c r="AM185" i="61"/>
  <c r="AM193" i="61"/>
  <c r="AM194" i="61"/>
  <c r="AM199" i="61"/>
  <c r="AM200" i="61"/>
  <c r="AM202" i="61"/>
  <c r="AM205" i="61"/>
  <c r="AM207" i="61"/>
  <c r="AL9" i="61"/>
  <c r="AL10" i="61"/>
  <c r="AL12" i="61"/>
  <c r="AL16" i="61"/>
  <c r="AL17" i="61"/>
  <c r="AL18" i="61"/>
  <c r="AL20" i="61"/>
  <c r="AL21" i="61"/>
  <c r="AL24" i="61"/>
  <c r="AL25" i="61"/>
  <c r="AL27" i="61"/>
  <c r="AL28" i="61"/>
  <c r="AL31" i="61"/>
  <c r="AL33" i="61"/>
  <c r="AL35" i="61"/>
  <c r="AL36" i="61"/>
  <c r="AL41" i="61"/>
  <c r="AL43" i="61"/>
  <c r="AL45" i="61"/>
  <c r="AL47" i="61"/>
  <c r="AL48" i="61"/>
  <c r="AL51" i="61"/>
  <c r="AL53" i="61"/>
  <c r="AL55" i="61"/>
  <c r="AL56" i="61"/>
  <c r="AL58" i="61"/>
  <c r="AL59" i="61"/>
  <c r="AL62" i="61"/>
  <c r="AL65" i="61"/>
  <c r="AL66" i="61"/>
  <c r="AL70" i="61"/>
  <c r="AL71" i="61"/>
  <c r="AL73" i="61"/>
  <c r="AL77" i="61"/>
  <c r="AL81" i="61"/>
  <c r="AL82" i="61"/>
  <c r="AL83" i="61"/>
  <c r="AL84" i="61"/>
  <c r="AL86" i="61"/>
  <c r="AL87" i="61"/>
  <c r="AL88" i="61"/>
  <c r="AL90" i="61"/>
  <c r="AL92" i="61"/>
  <c r="AL93" i="61"/>
  <c r="AL94" i="61"/>
  <c r="AL95" i="61"/>
  <c r="AL98" i="61"/>
  <c r="AL100" i="61"/>
  <c r="AL104" i="61"/>
  <c r="AL105" i="61"/>
  <c r="AL107" i="61"/>
  <c r="AL110" i="61"/>
  <c r="AL111" i="61"/>
  <c r="AL115" i="61"/>
  <c r="AL117" i="61"/>
  <c r="AL118" i="61"/>
  <c r="AL119" i="61"/>
  <c r="AL120" i="61"/>
  <c r="AL121" i="61"/>
  <c r="AL123" i="61"/>
  <c r="AL127" i="61"/>
  <c r="AL129" i="61"/>
  <c r="AL130" i="61"/>
  <c r="AL132" i="61"/>
  <c r="AL133" i="61"/>
  <c r="AL135" i="61"/>
  <c r="AL136" i="61"/>
  <c r="AL137" i="61"/>
  <c r="AL138" i="61"/>
  <c r="AL140" i="61"/>
  <c r="AL143" i="61"/>
  <c r="AL144" i="61"/>
  <c r="AL146" i="61"/>
  <c r="AL147" i="61"/>
  <c r="AL148" i="61"/>
  <c r="AL149" i="61"/>
  <c r="AL151" i="61"/>
  <c r="AL153" i="61"/>
  <c r="AL158" i="61"/>
  <c r="AL161" i="61"/>
  <c r="AL162" i="61"/>
  <c r="AL164" i="61"/>
  <c r="AL165" i="61"/>
  <c r="AL166" i="61"/>
  <c r="AL170" i="61"/>
  <c r="AL172" i="61"/>
  <c r="AL173" i="61"/>
  <c r="AL175" i="61"/>
  <c r="AL177" i="61"/>
  <c r="AL178" i="61"/>
  <c r="AL179" i="61"/>
  <c r="AL181" i="61"/>
  <c r="AL182" i="61"/>
  <c r="AL183" i="61"/>
  <c r="AL184" i="61"/>
  <c r="AL185" i="61"/>
  <c r="AL193" i="61"/>
  <c r="AL194" i="61"/>
  <c r="AL199" i="61"/>
  <c r="AL200" i="61"/>
  <c r="AL202" i="61"/>
  <c r="AL205" i="61"/>
  <c r="AL207" i="61"/>
  <c r="AK9" i="61"/>
  <c r="AK10" i="61"/>
  <c r="AK12" i="61"/>
  <c r="AK16" i="61"/>
  <c r="AK17" i="61"/>
  <c r="AK18" i="61"/>
  <c r="AK20" i="61"/>
  <c r="AK21" i="61"/>
  <c r="AK24" i="61"/>
  <c r="AK25" i="61"/>
  <c r="AK27" i="61"/>
  <c r="AK28" i="61"/>
  <c r="AK31" i="61"/>
  <c r="AK33" i="61"/>
  <c r="AK35" i="61"/>
  <c r="AK36" i="61"/>
  <c r="AK41" i="61"/>
  <c r="AK43" i="61"/>
  <c r="AK45" i="61"/>
  <c r="AK47" i="61"/>
  <c r="AK48" i="61"/>
  <c r="AK51" i="61"/>
  <c r="AK53" i="61"/>
  <c r="AK55" i="61"/>
  <c r="AK56" i="61"/>
  <c r="AK58" i="61"/>
  <c r="AK59" i="61"/>
  <c r="AK62" i="61"/>
  <c r="AK65" i="61"/>
  <c r="AK66" i="61"/>
  <c r="AK70" i="61"/>
  <c r="AK71" i="61"/>
  <c r="AK73" i="61"/>
  <c r="AK77" i="61"/>
  <c r="AK81" i="61"/>
  <c r="AK82" i="61"/>
  <c r="AK83" i="61"/>
  <c r="AK84" i="61"/>
  <c r="AK86" i="61"/>
  <c r="AK87" i="61"/>
  <c r="AK88" i="61"/>
  <c r="AK90" i="61"/>
  <c r="AK92" i="61"/>
  <c r="AK93" i="61"/>
  <c r="AK94" i="61"/>
  <c r="AK95" i="61"/>
  <c r="AK98" i="61"/>
  <c r="AK100" i="61"/>
  <c r="AK104" i="61"/>
  <c r="AK105" i="61"/>
  <c r="AK107" i="61"/>
  <c r="AK110" i="61"/>
  <c r="AK111" i="61"/>
  <c r="AK115" i="61"/>
  <c r="AK117" i="61"/>
  <c r="AK118" i="61"/>
  <c r="AK119" i="61"/>
  <c r="AK120" i="61"/>
  <c r="AK121" i="61"/>
  <c r="AK123" i="61"/>
  <c r="AK127" i="61"/>
  <c r="AK129" i="61"/>
  <c r="AK130" i="61"/>
  <c r="AK132" i="61"/>
  <c r="AK133" i="61"/>
  <c r="AK135" i="61"/>
  <c r="AK136" i="61"/>
  <c r="AK137" i="61"/>
  <c r="AK138" i="61"/>
  <c r="AK140" i="61"/>
  <c r="AK143" i="61"/>
  <c r="AK144" i="61"/>
  <c r="AK146" i="61"/>
  <c r="AK147" i="61"/>
  <c r="AK148" i="61"/>
  <c r="AK149" i="61"/>
  <c r="AK151" i="61"/>
  <c r="AK153" i="61"/>
  <c r="AK158" i="61"/>
  <c r="AK161" i="61"/>
  <c r="AK162" i="61"/>
  <c r="AK164" i="61"/>
  <c r="AK165" i="61"/>
  <c r="AK166" i="61"/>
  <c r="AK170" i="61"/>
  <c r="AK172" i="61"/>
  <c r="AK173" i="61"/>
  <c r="AK175" i="61"/>
  <c r="AK177" i="61"/>
  <c r="AK178" i="61"/>
  <c r="AK179" i="61"/>
  <c r="AK181" i="61"/>
  <c r="AK182" i="61"/>
  <c r="AK183" i="61"/>
  <c r="AK184" i="61"/>
  <c r="AK185" i="61"/>
  <c r="AK193" i="61"/>
  <c r="AK194" i="61"/>
  <c r="AK199" i="61"/>
  <c r="AK200" i="61"/>
  <c r="AK202" i="61"/>
  <c r="AK205" i="61"/>
  <c r="AK207" i="61"/>
  <c r="AM142" i="61" l="1"/>
  <c r="AL142" i="61"/>
  <c r="AM150" i="61"/>
  <c r="AL60" i="61" l="1"/>
  <c r="AK112" i="61"/>
  <c r="AK126" i="61"/>
  <c r="AM128" i="61"/>
  <c r="AL125" i="61"/>
  <c r="AL206" i="61"/>
  <c r="AM197" i="61"/>
  <c r="AL201" i="61"/>
  <c r="AL42" i="61"/>
  <c r="AL91" i="61"/>
  <c r="AK102" i="61"/>
  <c r="AM190" i="61"/>
  <c r="AK61" i="61"/>
  <c r="AK176" i="61"/>
  <c r="AL106" i="61"/>
  <c r="AL176" i="61"/>
  <c r="AL34" i="61"/>
  <c r="AL64" i="61"/>
  <c r="AK85" i="61"/>
  <c r="AL97" i="61"/>
  <c r="AL195" i="61"/>
  <c r="AL40" i="61"/>
  <c r="AM126" i="61"/>
  <c r="AL122" i="61"/>
  <c r="AK198" i="61"/>
  <c r="AL22" i="61"/>
  <c r="AK103" i="61"/>
  <c r="AK75" i="61"/>
  <c r="AK204" i="61"/>
  <c r="AL101" i="61"/>
  <c r="AK134" i="61"/>
  <c r="AK72" i="61"/>
  <c r="AM139" i="61"/>
  <c r="AL169" i="61"/>
  <c r="AM68" i="61"/>
  <c r="AK109" i="61"/>
  <c r="AM32" i="61"/>
  <c r="AL159" i="61"/>
  <c r="AM54" i="61"/>
  <c r="AM74" i="61"/>
  <c r="AL145" i="61"/>
  <c r="AK197" i="61"/>
  <c r="AM124" i="61"/>
  <c r="AL186" i="61"/>
  <c r="AM42" i="61"/>
  <c r="AM152" i="61"/>
  <c r="AM157" i="61"/>
  <c r="AM108" i="61"/>
  <c r="AK141" i="61"/>
  <c r="AL174" i="61"/>
  <c r="AK169" i="61"/>
  <c r="AM57" i="61"/>
  <c r="AM11" i="61"/>
  <c r="AK34" i="61"/>
  <c r="AM75" i="61"/>
  <c r="AM113" i="61"/>
  <c r="AK116" i="61"/>
  <c r="AL68" i="61"/>
  <c r="AK60" i="61"/>
  <c r="AM122" i="61" l="1"/>
  <c r="AM79" i="61"/>
  <c r="AM114" i="61"/>
  <c r="AM40" i="61"/>
  <c r="AM63" i="61"/>
  <c r="AL15" i="61"/>
  <c r="AM141" i="61"/>
  <c r="AL50" i="61"/>
  <c r="AM89" i="61"/>
  <c r="AK167" i="61"/>
  <c r="AL113" i="61"/>
  <c r="AM159" i="61"/>
  <c r="AK114" i="61"/>
  <c r="AK89" i="61"/>
  <c r="AM19" i="61"/>
  <c r="AL196" i="61"/>
  <c r="AL80" i="61"/>
  <c r="AM97" i="61"/>
  <c r="AL197" i="61"/>
  <c r="AM116" i="61"/>
  <c r="AM78" i="61"/>
  <c r="AM188" i="61"/>
  <c r="AK156" i="61"/>
  <c r="AK189" i="61"/>
  <c r="AM145" i="61"/>
  <c r="AM52" i="61"/>
  <c r="AK150" i="61"/>
  <c r="AL14" i="61"/>
  <c r="AK15" i="61"/>
  <c r="AL76" i="61"/>
  <c r="AM106" i="61"/>
  <c r="AL39" i="61"/>
  <c r="AK22" i="61"/>
  <c r="AM176" i="61"/>
  <c r="AM91" i="61"/>
  <c r="AL79" i="61"/>
  <c r="AM22" i="61"/>
  <c r="AL52" i="61"/>
  <c r="AM169" i="61"/>
  <c r="AK68" i="61"/>
  <c r="AM46" i="61"/>
  <c r="AL57" i="61"/>
  <c r="AL203" i="61"/>
  <c r="AM99" i="61"/>
  <c r="AL180" i="61"/>
  <c r="AK186" i="61"/>
  <c r="AL116" i="61"/>
  <c r="AL156" i="61"/>
  <c r="AM160" i="61"/>
  <c r="AM125" i="61"/>
  <c r="AL141" i="61"/>
  <c r="AK74" i="61"/>
  <c r="AK23" i="61"/>
  <c r="AK44" i="61"/>
  <c r="AK195" i="61"/>
  <c r="AM13" i="61"/>
  <c r="AM30" i="61"/>
  <c r="AK142" i="61"/>
  <c r="AM189" i="61"/>
  <c r="AL89" i="61"/>
  <c r="AK157" i="61"/>
  <c r="AL163" i="61"/>
  <c r="AM49" i="61"/>
  <c r="AK113" i="61"/>
  <c r="AK188" i="61"/>
  <c r="AM195" i="61"/>
  <c r="AL13" i="61"/>
  <c r="AL61" i="61"/>
  <c r="AM180" i="61"/>
  <c r="AM29" i="61"/>
  <c r="AK26" i="61"/>
  <c r="AK76" i="61"/>
  <c r="AM198" i="61"/>
  <c r="AK139" i="61"/>
  <c r="AM112" i="61"/>
  <c r="AM203" i="61"/>
  <c r="AM38" i="61"/>
  <c r="AK14" i="61"/>
  <c r="AL160" i="61"/>
  <c r="AL29" i="61"/>
  <c r="AK52" i="61"/>
  <c r="AK201" i="61"/>
  <c r="AK32" i="61"/>
  <c r="AM109" i="61"/>
  <c r="AK174" i="61"/>
  <c r="AM187" i="61"/>
  <c r="AL128" i="61"/>
  <c r="AK145" i="61"/>
  <c r="AM154" i="61"/>
  <c r="AL114" i="61"/>
  <c r="AL69" i="61"/>
  <c r="AM64" i="61"/>
  <c r="AM23" i="61"/>
  <c r="AL157" i="61"/>
  <c r="AK63" i="61"/>
  <c r="AL134" i="61"/>
  <c r="AK78" i="61"/>
  <c r="AK191" i="61"/>
  <c r="AM134" i="61"/>
  <c r="AL74" i="61"/>
  <c r="AM174" i="61"/>
  <c r="AL171" i="61"/>
  <c r="AK42" i="61"/>
  <c r="AK38" i="61"/>
  <c r="AK124" i="61"/>
  <c r="AM67" i="61"/>
  <c r="AK106" i="61"/>
  <c r="AM14" i="61"/>
  <c r="AM167" i="61"/>
  <c r="AM156" i="61"/>
  <c r="AL155" i="61"/>
  <c r="AK11" i="61"/>
  <c r="AK163" i="61"/>
  <c r="AK96" i="61"/>
  <c r="AK40" i="61"/>
  <c r="AL102" i="61"/>
  <c r="AL38" i="61"/>
  <c r="AK122" i="61"/>
  <c r="AL154" i="61"/>
  <c r="AM61" i="61"/>
  <c r="AK91" i="61"/>
  <c r="AM15" i="61"/>
  <c r="AK46" i="61"/>
  <c r="AM192" i="61"/>
  <c r="AL198" i="61"/>
  <c r="AL124" i="61"/>
  <c r="AM76" i="61"/>
  <c r="AK57" i="61"/>
  <c r="AK196" i="61"/>
  <c r="AL192" i="61"/>
  <c r="AK80" i="61"/>
  <c r="AM155" i="61"/>
  <c r="AL108" i="61"/>
  <c r="AL78" i="61"/>
  <c r="AL126" i="61"/>
  <c r="AK39" i="61"/>
  <c r="AL112" i="61"/>
  <c r="AL49" i="61"/>
  <c r="AK190" i="61"/>
  <c r="AK54" i="61"/>
  <c r="AK155" i="61"/>
  <c r="AK79" i="61"/>
  <c r="AM26" i="61"/>
  <c r="AK69" i="61"/>
  <c r="AK29" i="61"/>
  <c r="AL187" i="61"/>
  <c r="AK160" i="61"/>
  <c r="AK67" i="61"/>
  <c r="AM69" i="61"/>
  <c r="AL109" i="61"/>
  <c r="AM163" i="61"/>
  <c r="AM196" i="61"/>
  <c r="AM72" i="61"/>
  <c r="AL150" i="61"/>
  <c r="AK131" i="61"/>
  <c r="BO131" i="61" s="1"/>
  <c r="AM102" i="61"/>
  <c r="AK99" i="61"/>
  <c r="AK101" i="61"/>
  <c r="AM85" i="61"/>
  <c r="AL167" i="61"/>
  <c r="AK192" i="61"/>
  <c r="AK30" i="61"/>
  <c r="AK128" i="61"/>
  <c r="AK50" i="61"/>
  <c r="AK97" i="61"/>
  <c r="AK13" i="61"/>
  <c r="AK159" i="61"/>
  <c r="AL189" i="61"/>
  <c r="AL11" i="61"/>
  <c r="AK108" i="61"/>
  <c r="AK168" i="61"/>
  <c r="AL32" i="61"/>
  <c r="AL26" i="61"/>
  <c r="AK37" i="61"/>
  <c r="AK49" i="61"/>
  <c r="AM80" i="61"/>
  <c r="AL103" i="61"/>
  <c r="AL67" i="61"/>
  <c r="AL139" i="61"/>
  <c r="AM204" i="61"/>
  <c r="AL30" i="61"/>
  <c r="AL204" i="61"/>
  <c r="AL63" i="61"/>
  <c r="AM103" i="61"/>
  <c r="AL99" i="61"/>
  <c r="AM171" i="61"/>
  <c r="AK187" i="61"/>
  <c r="AL191" i="61"/>
  <c r="AL190" i="61"/>
  <c r="AM131" i="61"/>
  <c r="AL54" i="61"/>
  <c r="AM50" i="61"/>
  <c r="AL96" i="61"/>
  <c r="AK19" i="61"/>
  <c r="AM44" i="61"/>
  <c r="AM186" i="61"/>
  <c r="AL72" i="61"/>
  <c r="AL168" i="61"/>
  <c r="AK171" i="61"/>
  <c r="AL152" i="61"/>
  <c r="AM34" i="61"/>
  <c r="AL44" i="61"/>
  <c r="AM168" i="61"/>
  <c r="AK64" i="61"/>
  <c r="AM101" i="61"/>
  <c r="AM96" i="61"/>
  <c r="AL19" i="61"/>
  <c r="AL85" i="61"/>
  <c r="AL37" i="61"/>
  <c r="AK180" i="61"/>
  <c r="AK206" i="61"/>
  <c r="AK152" i="61"/>
  <c r="AM60" i="61"/>
  <c r="AM206" i="61"/>
  <c r="AM191" i="61"/>
  <c r="AK154" i="61"/>
  <c r="AL75" i="61"/>
  <c r="AL188" i="61"/>
  <c r="AL46" i="61"/>
  <c r="AK203" i="61"/>
  <c r="AK125" i="61"/>
  <c r="AL23" i="61"/>
  <c r="AM201" i="61"/>
  <c r="AM39" i="61"/>
  <c r="AM37" i="61"/>
  <c r="AM8" i="61"/>
  <c r="AM264" i="61" l="1"/>
  <c r="AK264" i="61"/>
  <c r="AL8" i="61"/>
  <c r="L204" i="61" l="1"/>
  <c r="BF204" i="61" s="1"/>
  <c r="L26" i="61"/>
  <c r="BF26" i="61" s="1"/>
  <c r="L17" i="61"/>
  <c r="BF17" i="61" s="1"/>
  <c r="L16" i="61"/>
  <c r="BF16" i="61" s="1"/>
  <c r="L15" i="61"/>
  <c r="BF15" i="61" s="1"/>
  <c r="L14" i="61"/>
  <c r="BF14" i="61" s="1"/>
  <c r="L11" i="61"/>
  <c r="BF11" i="61" s="1"/>
  <c r="L10" i="61"/>
  <c r="BF10" i="61" s="1"/>
  <c r="L9" i="61"/>
  <c r="BF9" i="61" s="1"/>
  <c r="L18" i="61"/>
  <c r="BF18" i="61" s="1"/>
  <c r="L24" i="61"/>
  <c r="BF24" i="61" s="1"/>
  <c r="L13" i="61"/>
  <c r="BF13" i="61" s="1"/>
  <c r="L12" i="61"/>
  <c r="BF12" i="61" s="1"/>
  <c r="L19" i="61"/>
  <c r="BF19" i="61" s="1"/>
  <c r="L25" i="61"/>
  <c r="BF25" i="61" s="1"/>
  <c r="L32" i="61"/>
  <c r="BF32" i="61" s="1"/>
  <c r="L46" i="61"/>
  <c r="BF46" i="61" s="1"/>
  <c r="L38" i="61"/>
  <c r="BF38" i="61" s="1"/>
  <c r="L30" i="61"/>
  <c r="BF30" i="61" s="1"/>
  <c r="L22" i="61"/>
  <c r="BF22" i="61" s="1"/>
  <c r="L21" i="61"/>
  <c r="BF21" i="61" s="1"/>
  <c r="L20" i="61"/>
  <c r="BF20" i="61" s="1"/>
  <c r="L31" i="61"/>
  <c r="BF31" i="61" s="1"/>
  <c r="L23" i="61"/>
  <c r="BF23" i="61" s="1"/>
  <c r="L53" i="61"/>
  <c r="BF53" i="61" s="1"/>
  <c r="L45" i="61"/>
  <c r="BF45" i="61" s="1"/>
  <c r="L37" i="61"/>
  <c r="BF37" i="61" s="1"/>
  <c r="L29" i="61"/>
  <c r="BF29" i="61" s="1"/>
  <c r="L52" i="61"/>
  <c r="BF52" i="61" s="1"/>
  <c r="L44" i="61"/>
  <c r="BF44" i="61" s="1"/>
  <c r="L36" i="61"/>
  <c r="BF36" i="61" s="1"/>
  <c r="L28" i="61"/>
  <c r="BF28" i="61" s="1"/>
  <c r="L51" i="61"/>
  <c r="BF51" i="61" s="1"/>
  <c r="L43" i="61"/>
  <c r="BF43" i="61" s="1"/>
  <c r="L35" i="61"/>
  <c r="BF35" i="61" s="1"/>
  <c r="L27" i="61"/>
  <c r="BF27" i="61" s="1"/>
  <c r="L202" i="61"/>
  <c r="BF202" i="61" s="1"/>
  <c r="L194" i="61"/>
  <c r="BF194" i="61" s="1"/>
  <c r="L186" i="61"/>
  <c r="BF186" i="61" s="1"/>
  <c r="L178" i="61"/>
  <c r="BF178" i="61" s="1"/>
  <c r="L170" i="61"/>
  <c r="BF170" i="61" s="1"/>
  <c r="L162" i="61"/>
  <c r="BF162" i="61" s="1"/>
  <c r="L154" i="61"/>
  <c r="BF154" i="61" s="1"/>
  <c r="L146" i="61"/>
  <c r="BF146" i="61" s="1"/>
  <c r="L138" i="61"/>
  <c r="BF138" i="61" s="1"/>
  <c r="L130" i="61"/>
  <c r="BF130" i="61" s="1"/>
  <c r="L122" i="61"/>
  <c r="BF122" i="61" s="1"/>
  <c r="L114" i="61"/>
  <c r="BF114" i="61" s="1"/>
  <c r="L106" i="61"/>
  <c r="BF106" i="61" s="1"/>
  <c r="L98" i="61"/>
  <c r="BF98" i="61" s="1"/>
  <c r="L90" i="61"/>
  <c r="BF90" i="61" s="1"/>
  <c r="L82" i="61"/>
  <c r="BF82" i="61" s="1"/>
  <c r="L74" i="61"/>
  <c r="BF74" i="61" s="1"/>
  <c r="L66" i="61"/>
  <c r="BF66" i="61" s="1"/>
  <c r="L58" i="61"/>
  <c r="BF58" i="61" s="1"/>
  <c r="L50" i="61"/>
  <c r="BF50" i="61" s="1"/>
  <c r="L42" i="61"/>
  <c r="BF42" i="61" s="1"/>
  <c r="L34" i="61"/>
  <c r="BF34" i="61" s="1"/>
  <c r="L201" i="61"/>
  <c r="BF201" i="61" s="1"/>
  <c r="L193" i="61"/>
  <c r="BF193" i="61" s="1"/>
  <c r="L185" i="61"/>
  <c r="BF185" i="61" s="1"/>
  <c r="L177" i="61"/>
  <c r="BF177" i="61" s="1"/>
  <c r="L169" i="61"/>
  <c r="BF169" i="61" s="1"/>
  <c r="L161" i="61"/>
  <c r="BF161" i="61" s="1"/>
  <c r="L153" i="61"/>
  <c r="BF153" i="61" s="1"/>
  <c r="L145" i="61"/>
  <c r="BF145" i="61" s="1"/>
  <c r="L137" i="61"/>
  <c r="BF137" i="61" s="1"/>
  <c r="L129" i="61"/>
  <c r="BF129" i="61" s="1"/>
  <c r="L121" i="61"/>
  <c r="BF121" i="61" s="1"/>
  <c r="L113" i="61"/>
  <c r="BF113" i="61" s="1"/>
  <c r="L105" i="61"/>
  <c r="BF105" i="61" s="1"/>
  <c r="L97" i="61"/>
  <c r="BF97" i="61" s="1"/>
  <c r="L89" i="61"/>
  <c r="BF89" i="61" s="1"/>
  <c r="L73" i="61"/>
  <c r="BF73" i="61" s="1"/>
  <c r="L65" i="61"/>
  <c r="BF65" i="61" s="1"/>
  <c r="L57" i="61"/>
  <c r="BF57" i="61" s="1"/>
  <c r="L49" i="61"/>
  <c r="BF49" i="61" s="1"/>
  <c r="L41" i="61"/>
  <c r="BF41" i="61" s="1"/>
  <c r="L33" i="61"/>
  <c r="BF33" i="61" s="1"/>
  <c r="L72" i="61"/>
  <c r="BF72" i="61" s="1"/>
  <c r="L64" i="61"/>
  <c r="BF64" i="61" s="1"/>
  <c r="L56" i="61"/>
  <c r="BF56" i="61" s="1"/>
  <c r="L48" i="61"/>
  <c r="BF48" i="61" s="1"/>
  <c r="L40" i="61"/>
  <c r="BF40" i="61" s="1"/>
  <c r="L55" i="61"/>
  <c r="BF55" i="61" s="1"/>
  <c r="L47" i="61"/>
  <c r="BF47" i="61" s="1"/>
  <c r="L39" i="61"/>
  <c r="BF39" i="61" s="1"/>
  <c r="L81" i="61"/>
  <c r="BF81" i="61" s="1"/>
  <c r="L200" i="61"/>
  <c r="BF200" i="61" s="1"/>
  <c r="L192" i="61"/>
  <c r="BF192" i="61" s="1"/>
  <c r="L184" i="61"/>
  <c r="BF184" i="61" s="1"/>
  <c r="L176" i="61"/>
  <c r="BF176" i="61" s="1"/>
  <c r="L168" i="61"/>
  <c r="BF168" i="61" s="1"/>
  <c r="L160" i="61"/>
  <c r="BF160" i="61" s="1"/>
  <c r="L152" i="61"/>
  <c r="BF152" i="61" s="1"/>
  <c r="L144" i="61"/>
  <c r="BF144" i="61" s="1"/>
  <c r="L136" i="61"/>
  <c r="BF136" i="61" s="1"/>
  <c r="L128" i="61"/>
  <c r="BF128" i="61" s="1"/>
  <c r="L120" i="61"/>
  <c r="BF120" i="61" s="1"/>
  <c r="L112" i="61"/>
  <c r="BF112" i="61" s="1"/>
  <c r="L104" i="61"/>
  <c r="BF104" i="61" s="1"/>
  <c r="L96" i="61"/>
  <c r="BF96" i="61" s="1"/>
  <c r="L88" i="61"/>
  <c r="BF88" i="61" s="1"/>
  <c r="L80" i="61"/>
  <c r="BF80" i="61" s="1"/>
  <c r="L207" i="61"/>
  <c r="BF207" i="61" s="1"/>
  <c r="L199" i="61"/>
  <c r="BF199" i="61" s="1"/>
  <c r="L191" i="61"/>
  <c r="BF191" i="61" s="1"/>
  <c r="L183" i="61"/>
  <c r="BF183" i="61" s="1"/>
  <c r="L175" i="61"/>
  <c r="BF175" i="61" s="1"/>
  <c r="L167" i="61"/>
  <c r="BF167" i="61" s="1"/>
  <c r="L159" i="61"/>
  <c r="BF159" i="61" s="1"/>
  <c r="L151" i="61"/>
  <c r="BF151" i="61" s="1"/>
  <c r="L143" i="61"/>
  <c r="BF143" i="61" s="1"/>
  <c r="L135" i="61"/>
  <c r="BF135" i="61" s="1"/>
  <c r="L127" i="61"/>
  <c r="BF127" i="61" s="1"/>
  <c r="L119" i="61"/>
  <c r="BF119" i="61" s="1"/>
  <c r="L111" i="61"/>
  <c r="BF111" i="61" s="1"/>
  <c r="L103" i="61"/>
  <c r="BF103" i="61" s="1"/>
  <c r="L95" i="61"/>
  <c r="BF95" i="61" s="1"/>
  <c r="L87" i="61"/>
  <c r="BF87" i="61" s="1"/>
  <c r="L79" i="61"/>
  <c r="BF79" i="61" s="1"/>
  <c r="L71" i="61"/>
  <c r="BF71" i="61" s="1"/>
  <c r="L63" i="61"/>
  <c r="BF63" i="61" s="1"/>
  <c r="L206" i="61"/>
  <c r="BF206" i="61" s="1"/>
  <c r="L198" i="61"/>
  <c r="BF198" i="61" s="1"/>
  <c r="L190" i="61"/>
  <c r="BF190" i="61" s="1"/>
  <c r="L182" i="61"/>
  <c r="BF182" i="61" s="1"/>
  <c r="L174" i="61"/>
  <c r="BF174" i="61" s="1"/>
  <c r="L166" i="61"/>
  <c r="BF166" i="61" s="1"/>
  <c r="L158" i="61"/>
  <c r="BF158" i="61" s="1"/>
  <c r="L150" i="61"/>
  <c r="BF150" i="61" s="1"/>
  <c r="L142" i="61"/>
  <c r="BF142" i="61" s="1"/>
  <c r="L134" i="61"/>
  <c r="BF134" i="61" s="1"/>
  <c r="L126" i="61"/>
  <c r="BF126" i="61" s="1"/>
  <c r="L118" i="61"/>
  <c r="BF118" i="61" s="1"/>
  <c r="L110" i="61"/>
  <c r="BF110" i="61" s="1"/>
  <c r="L102" i="61"/>
  <c r="BF102" i="61" s="1"/>
  <c r="L94" i="61"/>
  <c r="BF94" i="61" s="1"/>
  <c r="L86" i="61"/>
  <c r="BF86" i="61" s="1"/>
  <c r="L78" i="61"/>
  <c r="BF78" i="61" s="1"/>
  <c r="L70" i="61"/>
  <c r="BF70" i="61" s="1"/>
  <c r="L62" i="61"/>
  <c r="BF62" i="61" s="1"/>
  <c r="L54" i="61"/>
  <c r="BF54" i="61" s="1"/>
  <c r="L205" i="61"/>
  <c r="BF205" i="61" s="1"/>
  <c r="L197" i="61"/>
  <c r="BF197" i="61" s="1"/>
  <c r="L189" i="61"/>
  <c r="BF189" i="61" s="1"/>
  <c r="L181" i="61"/>
  <c r="BF181" i="61" s="1"/>
  <c r="L173" i="61"/>
  <c r="BF173" i="61" s="1"/>
  <c r="L165" i="61"/>
  <c r="BF165" i="61" s="1"/>
  <c r="L157" i="61"/>
  <c r="BF157" i="61" s="1"/>
  <c r="L149" i="61"/>
  <c r="BF149" i="61" s="1"/>
  <c r="L141" i="61"/>
  <c r="BF141" i="61" s="1"/>
  <c r="L133" i="61"/>
  <c r="BF133" i="61" s="1"/>
  <c r="L125" i="61"/>
  <c r="BF125" i="61" s="1"/>
  <c r="L117" i="61"/>
  <c r="BF117" i="61" s="1"/>
  <c r="L109" i="61"/>
  <c r="BF109" i="61" s="1"/>
  <c r="L101" i="61"/>
  <c r="BF101" i="61" s="1"/>
  <c r="L93" i="61"/>
  <c r="BF93" i="61" s="1"/>
  <c r="L85" i="61"/>
  <c r="BF85" i="61" s="1"/>
  <c r="L77" i="61"/>
  <c r="BF77" i="61" s="1"/>
  <c r="L69" i="61"/>
  <c r="BF69" i="61" s="1"/>
  <c r="L61" i="61"/>
  <c r="BF61" i="61" s="1"/>
  <c r="L196" i="61"/>
  <c r="BF196" i="61" s="1"/>
  <c r="L188" i="61"/>
  <c r="BF188" i="61" s="1"/>
  <c r="L180" i="61"/>
  <c r="BF180" i="61" s="1"/>
  <c r="L172" i="61"/>
  <c r="BF172" i="61" s="1"/>
  <c r="L164" i="61"/>
  <c r="BF164" i="61" s="1"/>
  <c r="L156" i="61"/>
  <c r="BF156" i="61" s="1"/>
  <c r="L148" i="61"/>
  <c r="BF148" i="61" s="1"/>
  <c r="L140" i="61"/>
  <c r="BF140" i="61" s="1"/>
  <c r="L132" i="61"/>
  <c r="BF132" i="61" s="1"/>
  <c r="L124" i="61"/>
  <c r="BF124" i="61" s="1"/>
  <c r="L116" i="61"/>
  <c r="BF116" i="61" s="1"/>
  <c r="L108" i="61"/>
  <c r="BF108" i="61" s="1"/>
  <c r="L100" i="61"/>
  <c r="BF100" i="61" s="1"/>
  <c r="L92" i="61"/>
  <c r="BF92" i="61" s="1"/>
  <c r="L84" i="61"/>
  <c r="BF84" i="61" s="1"/>
  <c r="L76" i="61"/>
  <c r="BF76" i="61" s="1"/>
  <c r="L68" i="61"/>
  <c r="BF68" i="61" s="1"/>
  <c r="L60" i="61"/>
  <c r="BF60" i="61" s="1"/>
  <c r="L203" i="61"/>
  <c r="BF203" i="61" s="1"/>
  <c r="L195" i="61"/>
  <c r="BF195" i="61" s="1"/>
  <c r="L187" i="61"/>
  <c r="BF187" i="61" s="1"/>
  <c r="L179" i="61"/>
  <c r="BF179" i="61" s="1"/>
  <c r="L171" i="61"/>
  <c r="BF171" i="61" s="1"/>
  <c r="L163" i="61"/>
  <c r="BF163" i="61" s="1"/>
  <c r="L155" i="61"/>
  <c r="BF155" i="61" s="1"/>
  <c r="L147" i="61"/>
  <c r="BF147" i="61" s="1"/>
  <c r="L139" i="61"/>
  <c r="BF139" i="61" s="1"/>
  <c r="L123" i="61"/>
  <c r="BF123" i="61" s="1"/>
  <c r="L115" i="61"/>
  <c r="BF115" i="61" s="1"/>
  <c r="L107" i="61"/>
  <c r="BF107" i="61" s="1"/>
  <c r="L99" i="61"/>
  <c r="BF99" i="61" s="1"/>
  <c r="L91" i="61"/>
  <c r="BF91" i="61" s="1"/>
  <c r="L83" i="61"/>
  <c r="BF83" i="61" s="1"/>
  <c r="L75" i="61"/>
  <c r="BF75" i="61" s="1"/>
  <c r="L67" i="61"/>
  <c r="BF67" i="61" s="1"/>
  <c r="L59" i="61"/>
  <c r="BF59" i="61" s="1"/>
  <c r="AD8" i="61"/>
  <c r="AD264" i="61" l="1"/>
  <c r="AE8" i="61"/>
  <c r="AE207" i="61"/>
  <c r="AE206" i="61"/>
  <c r="AE205" i="61"/>
  <c r="AE204" i="61"/>
  <c r="AE203" i="61"/>
  <c r="AE202" i="61"/>
  <c r="AE201" i="61"/>
  <c r="AE200" i="61"/>
  <c r="AE199" i="61"/>
  <c r="AE198" i="61"/>
  <c r="AE197" i="61"/>
  <c r="AE196" i="61"/>
  <c r="AE195" i="61"/>
  <c r="AE194" i="61"/>
  <c r="AE193" i="61"/>
  <c r="AE192" i="61"/>
  <c r="AE191" i="61"/>
  <c r="AE190" i="61"/>
  <c r="AE189" i="61"/>
  <c r="AE188" i="61"/>
  <c r="AE187" i="61"/>
  <c r="AE186" i="61"/>
  <c r="AE185" i="61"/>
  <c r="AE184" i="61"/>
  <c r="AE183" i="61"/>
  <c r="AE182" i="61"/>
  <c r="AE181" i="61"/>
  <c r="AE180" i="61"/>
  <c r="AE179" i="61"/>
  <c r="AE178" i="61"/>
  <c r="AE177" i="61"/>
  <c r="AE176" i="61"/>
  <c r="AE175" i="61"/>
  <c r="AE174" i="61"/>
  <c r="AE173" i="61"/>
  <c r="AE172" i="61"/>
  <c r="AE171" i="61"/>
  <c r="AE170" i="61"/>
  <c r="AE169" i="61"/>
  <c r="AE168" i="61"/>
  <c r="AE167" i="61"/>
  <c r="AE166" i="61"/>
  <c r="AE165" i="61"/>
  <c r="AE164" i="61"/>
  <c r="AE163" i="61"/>
  <c r="AE162" i="61"/>
  <c r="AE161" i="61"/>
  <c r="AE160" i="61"/>
  <c r="AE159" i="61"/>
  <c r="AE158" i="61"/>
  <c r="AE157" i="61"/>
  <c r="AE156" i="61"/>
  <c r="AE155" i="61"/>
  <c r="AE154" i="61"/>
  <c r="AE153" i="61"/>
  <c r="AE152" i="61"/>
  <c r="AE151" i="61"/>
  <c r="AE150" i="61"/>
  <c r="AE149" i="61"/>
  <c r="AE148" i="61"/>
  <c r="AE147" i="61"/>
  <c r="AE146" i="61"/>
  <c r="AE145" i="61"/>
  <c r="AE144" i="61"/>
  <c r="AE143" i="61"/>
  <c r="AE142" i="61"/>
  <c r="AE141" i="61"/>
  <c r="AE140" i="61"/>
  <c r="AE139" i="61"/>
  <c r="AE138" i="61"/>
  <c r="AE137" i="61"/>
  <c r="AE136" i="61"/>
  <c r="AE135" i="61"/>
  <c r="AE134" i="61"/>
  <c r="AE133" i="61"/>
  <c r="AE132" i="61"/>
  <c r="AE131" i="61"/>
  <c r="AE130" i="61"/>
  <c r="AE129" i="61"/>
  <c r="AE128" i="61"/>
  <c r="AE127" i="61"/>
  <c r="AE126" i="61"/>
  <c r="AE125" i="61"/>
  <c r="AE124" i="61"/>
  <c r="AE123" i="61"/>
  <c r="AE122" i="61"/>
  <c r="AE121" i="61"/>
  <c r="AE120" i="61"/>
  <c r="AE119" i="61"/>
  <c r="AE118" i="61"/>
  <c r="AE117" i="61"/>
  <c r="AE116" i="61"/>
  <c r="AE115" i="61"/>
  <c r="AE114" i="61"/>
  <c r="AE113" i="61"/>
  <c r="AE112" i="61"/>
  <c r="AE111" i="61"/>
  <c r="AE110" i="61"/>
  <c r="AE109" i="61"/>
  <c r="AE108" i="61"/>
  <c r="AE107" i="61"/>
  <c r="AE106" i="61"/>
  <c r="AE105" i="61"/>
  <c r="AE104" i="61"/>
  <c r="AE103" i="61"/>
  <c r="AE102" i="61"/>
  <c r="AE101" i="61"/>
  <c r="AE100" i="61"/>
  <c r="AE99" i="61"/>
  <c r="AE98" i="61"/>
  <c r="AE97" i="61"/>
  <c r="AE96" i="61"/>
  <c r="AE95" i="61"/>
  <c r="AE94" i="61"/>
  <c r="AE93" i="61"/>
  <c r="AE92" i="61"/>
  <c r="AE91" i="61"/>
  <c r="AE90" i="61"/>
  <c r="AE89" i="61"/>
  <c r="AE88" i="61"/>
  <c r="AE87" i="61"/>
  <c r="AE86" i="61"/>
  <c r="AE85" i="61"/>
  <c r="AE84" i="61"/>
  <c r="AE83" i="61"/>
  <c r="AE82" i="61"/>
  <c r="AE81" i="61"/>
  <c r="AE80" i="61"/>
  <c r="AE79" i="61"/>
  <c r="AE78" i="61"/>
  <c r="AE77" i="61"/>
  <c r="AE76" i="61"/>
  <c r="AE75" i="61"/>
  <c r="AE74" i="61"/>
  <c r="AE73" i="61"/>
  <c r="AE72" i="61"/>
  <c r="AE71" i="61"/>
  <c r="AE70" i="61"/>
  <c r="AE69" i="61"/>
  <c r="AE68" i="61"/>
  <c r="AE67" i="61"/>
  <c r="AE66" i="61"/>
  <c r="AE65" i="61"/>
  <c r="AE64" i="61"/>
  <c r="AE63" i="61"/>
  <c r="AE62" i="61"/>
  <c r="AE61" i="61"/>
  <c r="AE60" i="61"/>
  <c r="AE59" i="61"/>
  <c r="AE58" i="61"/>
  <c r="AE57" i="61"/>
  <c r="AE56" i="61"/>
  <c r="AE55" i="61"/>
  <c r="AE54" i="61"/>
  <c r="AE53" i="61"/>
  <c r="AE52" i="61"/>
  <c r="AE51" i="61"/>
  <c r="AE50" i="61"/>
  <c r="AE49" i="61"/>
  <c r="AE48" i="61"/>
  <c r="AE47" i="61"/>
  <c r="AE46" i="61"/>
  <c r="AE45" i="61"/>
  <c r="AE44" i="61"/>
  <c r="AE43" i="61"/>
  <c r="AE42" i="61"/>
  <c r="AE41" i="61"/>
  <c r="AE40" i="61"/>
  <c r="AE39" i="61"/>
  <c r="AE38" i="61"/>
  <c r="AE37" i="61"/>
  <c r="AE36" i="61"/>
  <c r="AE35" i="61"/>
  <c r="AE34" i="61"/>
  <c r="AE33" i="61"/>
  <c r="AE32" i="61"/>
  <c r="AE31" i="61"/>
  <c r="AE30" i="61"/>
  <c r="AE29" i="61"/>
  <c r="AE28" i="61"/>
  <c r="AE27" i="61"/>
  <c r="AE26" i="61"/>
  <c r="AE25" i="61"/>
  <c r="AE24" i="61"/>
  <c r="AE23" i="61"/>
  <c r="AE22" i="61"/>
  <c r="AE21" i="61"/>
  <c r="AE20" i="61"/>
  <c r="AE19" i="61"/>
  <c r="AE18" i="61"/>
  <c r="AE17" i="61"/>
  <c r="AE16" i="61"/>
  <c r="AE15" i="61"/>
  <c r="AE14" i="61"/>
  <c r="AE13" i="61"/>
  <c r="AE12" i="61"/>
  <c r="AE11" i="61"/>
  <c r="AE10" i="61"/>
  <c r="AE9" i="61"/>
  <c r="U175" i="61"/>
  <c r="M107" i="61"/>
  <c r="BO107" i="61" s="1"/>
  <c r="M157" i="61"/>
  <c r="BO157" i="61" s="1"/>
  <c r="M141" i="61"/>
  <c r="BO141" i="61" s="1"/>
  <c r="M109" i="61"/>
  <c r="BO109" i="61" s="1"/>
  <c r="M162" i="61"/>
  <c r="BO162" i="61" s="1"/>
  <c r="U30" i="61"/>
  <c r="M124" i="61"/>
  <c r="BO124" i="61" s="1"/>
  <c r="M108" i="61"/>
  <c r="BO108" i="61" s="1"/>
  <c r="M98" i="61"/>
  <c r="BO98" i="61" s="1"/>
  <c r="M36" i="61"/>
  <c r="BO36" i="61" s="1"/>
  <c r="M34" i="61"/>
  <c r="BO34" i="61" s="1"/>
  <c r="U202" i="61"/>
  <c r="U198" i="61"/>
  <c r="U194" i="61"/>
  <c r="U186" i="61"/>
  <c r="U178" i="61"/>
  <c r="U170" i="61"/>
  <c r="U166" i="61"/>
  <c r="U158" i="61"/>
  <c r="U150" i="61"/>
  <c r="U138" i="61"/>
  <c r="U134" i="61"/>
  <c r="U126" i="61"/>
  <c r="U114" i="61"/>
  <c r="U106" i="61"/>
  <c r="U98" i="61"/>
  <c r="U90" i="61"/>
  <c r="U82" i="61"/>
  <c r="U74" i="61"/>
  <c r="U66" i="61"/>
  <c r="U58" i="61"/>
  <c r="U50" i="61"/>
  <c r="U46" i="61"/>
  <c r="U207" i="61"/>
  <c r="U203" i="61"/>
  <c r="U199" i="61"/>
  <c r="U195" i="61"/>
  <c r="U191" i="61"/>
  <c r="U187" i="61"/>
  <c r="U183" i="61"/>
  <c r="U179" i="61"/>
  <c r="U206" i="61"/>
  <c r="U190" i="61"/>
  <c r="U182" i="61"/>
  <c r="U174" i="61"/>
  <c r="U162" i="61"/>
  <c r="U154" i="61"/>
  <c r="U146" i="61"/>
  <c r="U142" i="61"/>
  <c r="U130" i="61"/>
  <c r="U122" i="61"/>
  <c r="U118" i="61"/>
  <c r="U110" i="61"/>
  <c r="U102" i="61"/>
  <c r="U94" i="61"/>
  <c r="U86" i="61"/>
  <c r="U78" i="61"/>
  <c r="U70" i="61"/>
  <c r="U62" i="61"/>
  <c r="U54" i="61"/>
  <c r="U42" i="61"/>
  <c r="U38" i="61"/>
  <c r="U34" i="61"/>
  <c r="U205" i="61"/>
  <c r="U201" i="61"/>
  <c r="U197" i="61"/>
  <c r="U193" i="61"/>
  <c r="U189" i="61"/>
  <c r="U185" i="61"/>
  <c r="U181" i="61"/>
  <c r="U177" i="61"/>
  <c r="U173" i="61"/>
  <c r="U169" i="61"/>
  <c r="U165" i="61"/>
  <c r="U161" i="61"/>
  <c r="U157" i="61"/>
  <c r="U153" i="61"/>
  <c r="U149" i="61"/>
  <c r="U145" i="61"/>
  <c r="U141" i="61"/>
  <c r="U137" i="61"/>
  <c r="U133" i="61"/>
  <c r="U129" i="61"/>
  <c r="U125" i="61"/>
  <c r="U26" i="61"/>
  <c r="U22" i="61"/>
  <c r="U18" i="61"/>
  <c r="U14" i="61"/>
  <c r="U10" i="61"/>
  <c r="U23" i="61"/>
  <c r="U19" i="61"/>
  <c r="U15" i="61"/>
  <c r="U11" i="61"/>
  <c r="U20" i="61"/>
  <c r="U16" i="61"/>
  <c r="U12" i="61"/>
  <c r="U171" i="61"/>
  <c r="U167" i="61"/>
  <c r="U163" i="61"/>
  <c r="U159" i="61"/>
  <c r="U155" i="61"/>
  <c r="U151" i="61"/>
  <c r="U147" i="61"/>
  <c r="U143" i="61"/>
  <c r="U139" i="61"/>
  <c r="U135" i="61"/>
  <c r="U127" i="61"/>
  <c r="U123" i="61"/>
  <c r="U119" i="61"/>
  <c r="U115" i="61"/>
  <c r="U111" i="61"/>
  <c r="U107" i="61"/>
  <c r="U103" i="61"/>
  <c r="U99" i="61"/>
  <c r="U95" i="61"/>
  <c r="U91" i="61"/>
  <c r="U87" i="61"/>
  <c r="U83" i="61"/>
  <c r="U79" i="61"/>
  <c r="U75" i="61"/>
  <c r="U71" i="61"/>
  <c r="U67" i="61"/>
  <c r="U63" i="61"/>
  <c r="U59" i="61"/>
  <c r="U55" i="61"/>
  <c r="U51" i="61"/>
  <c r="U47" i="61"/>
  <c r="U43" i="61"/>
  <c r="U39" i="61"/>
  <c r="U35" i="61"/>
  <c r="U31" i="61"/>
  <c r="U27" i="61"/>
  <c r="U204" i="61"/>
  <c r="U200" i="61"/>
  <c r="U196" i="61"/>
  <c r="U192" i="61"/>
  <c r="U188" i="61"/>
  <c r="U184" i="61"/>
  <c r="U180" i="61"/>
  <c r="U176" i="61"/>
  <c r="U172" i="61"/>
  <c r="U168" i="61"/>
  <c r="U164" i="61"/>
  <c r="U160" i="61"/>
  <c r="U156" i="61"/>
  <c r="U152" i="61"/>
  <c r="U148" i="61"/>
  <c r="U144" i="61"/>
  <c r="U140" i="61"/>
  <c r="U136" i="61"/>
  <c r="U132" i="61"/>
  <c r="U128" i="61"/>
  <c r="U124" i="61"/>
  <c r="U120" i="61"/>
  <c r="U116" i="61"/>
  <c r="U112" i="61"/>
  <c r="U108" i="61"/>
  <c r="U104" i="61"/>
  <c r="U100" i="61"/>
  <c r="U96" i="61"/>
  <c r="U92" i="61"/>
  <c r="U88" i="61"/>
  <c r="U84" i="61"/>
  <c r="U80" i="61"/>
  <c r="U76" i="61"/>
  <c r="U72" i="61"/>
  <c r="U68" i="61"/>
  <c r="U64" i="61"/>
  <c r="U60" i="61"/>
  <c r="U56" i="61"/>
  <c r="U52" i="61"/>
  <c r="U48" i="61"/>
  <c r="U44" i="61"/>
  <c r="U40" i="61"/>
  <c r="U36" i="61"/>
  <c r="U32" i="61"/>
  <c r="U28" i="61"/>
  <c r="U24" i="61"/>
  <c r="U121" i="61"/>
  <c r="U117" i="61"/>
  <c r="U113" i="61"/>
  <c r="U109" i="61"/>
  <c r="U105" i="61"/>
  <c r="U101" i="61"/>
  <c r="U97" i="61"/>
  <c r="U93" i="61"/>
  <c r="U89" i="61"/>
  <c r="U85" i="61"/>
  <c r="U81" i="61"/>
  <c r="U77" i="61"/>
  <c r="U73" i="61"/>
  <c r="U69" i="61"/>
  <c r="U65" i="61"/>
  <c r="U61" i="61"/>
  <c r="U57" i="61"/>
  <c r="U53" i="61"/>
  <c r="U49" i="61"/>
  <c r="U45" i="61"/>
  <c r="U41" i="61"/>
  <c r="U37" i="61"/>
  <c r="U33" i="61"/>
  <c r="U29" i="61"/>
  <c r="U25" i="61"/>
  <c r="U21" i="61"/>
  <c r="U17" i="61"/>
  <c r="U13" i="61"/>
  <c r="U9" i="61"/>
  <c r="U8" i="61"/>
  <c r="M159" i="61"/>
  <c r="BO159" i="61" s="1"/>
  <c r="M44" i="61"/>
  <c r="BO44" i="61" s="1"/>
  <c r="M180" i="61"/>
  <c r="BO180" i="61" s="1"/>
  <c r="M164" i="61"/>
  <c r="BO164" i="61" s="1"/>
  <c r="M67" i="61"/>
  <c r="BO67" i="61" s="1"/>
  <c r="M181" i="61"/>
  <c r="BO181" i="61" s="1"/>
  <c r="M99" i="61"/>
  <c r="BO99" i="61" s="1"/>
  <c r="M76" i="61"/>
  <c r="BO76" i="61" s="1"/>
  <c r="M198" i="61"/>
  <c r="BO198" i="61" s="1"/>
  <c r="M203" i="61"/>
  <c r="BO203" i="61" s="1"/>
  <c r="M100" i="61"/>
  <c r="BO100" i="61" s="1"/>
  <c r="M13" i="61"/>
  <c r="BO13" i="61" s="1"/>
  <c r="M158" i="61"/>
  <c r="BO158" i="61" s="1"/>
  <c r="M140" i="61"/>
  <c r="BO140" i="61" s="1"/>
  <c r="M35" i="61"/>
  <c r="BO35" i="61" s="1"/>
  <c r="M163" i="61"/>
  <c r="BO163" i="61" s="1"/>
  <c r="M150" i="61"/>
  <c r="BO150" i="61" s="1"/>
  <c r="M45" i="61"/>
  <c r="BO45" i="61" s="1"/>
  <c r="M43" i="61"/>
  <c r="BO43" i="61" s="1"/>
  <c r="M9" i="61"/>
  <c r="BO9" i="61" s="1"/>
  <c r="M132" i="61"/>
  <c r="BO132" i="61" s="1"/>
  <c r="M130" i="61"/>
  <c r="BO130" i="61" s="1"/>
  <c r="M139" i="61"/>
  <c r="BO139" i="61" s="1"/>
  <c r="M21" i="61"/>
  <c r="BO21" i="61" s="1"/>
  <c r="M186" i="61"/>
  <c r="BO186" i="61" s="1"/>
  <c r="M182" i="61"/>
  <c r="BO182" i="61" s="1"/>
  <c r="M178" i="61"/>
  <c r="BO178" i="61" s="1"/>
  <c r="M173" i="61"/>
  <c r="BO173" i="61" s="1"/>
  <c r="M22" i="61"/>
  <c r="BO22" i="61" s="1"/>
  <c r="M68" i="61"/>
  <c r="BO68" i="61" s="1"/>
  <c r="M66" i="61"/>
  <c r="BO66" i="61" s="1"/>
  <c r="M23" i="61"/>
  <c r="BO23" i="61" s="1"/>
  <c r="M204" i="61"/>
  <c r="BO204" i="61" s="1"/>
  <c r="M77" i="61"/>
  <c r="BO77" i="61" s="1"/>
  <c r="M75" i="61"/>
  <c r="BO75" i="61" s="1"/>
  <c r="M74" i="61"/>
  <c r="BO74" i="61" s="1"/>
  <c r="M60" i="61"/>
  <c r="BO60" i="61" s="1"/>
  <c r="M50" i="61"/>
  <c r="BO50" i="61" s="1"/>
  <c r="M28" i="61"/>
  <c r="BO28" i="61" s="1"/>
  <c r="M146" i="61"/>
  <c r="BO146" i="61" s="1"/>
  <c r="M82" i="61"/>
  <c r="BO82" i="61" s="1"/>
  <c r="M147" i="61"/>
  <c r="BO147" i="61" s="1"/>
  <c r="M91" i="61"/>
  <c r="BO91" i="61" s="1"/>
  <c r="M83" i="61"/>
  <c r="BO83" i="61" s="1"/>
  <c r="M187" i="61"/>
  <c r="BO187" i="61" s="1"/>
  <c r="M179" i="61"/>
  <c r="BO179" i="61" s="1"/>
  <c r="M106" i="61"/>
  <c r="BO106" i="61" s="1"/>
  <c r="M42" i="61"/>
  <c r="BO42" i="61" s="1"/>
  <c r="M205" i="61"/>
  <c r="BO205" i="61" s="1"/>
  <c r="M174" i="61"/>
  <c r="BO174" i="61" s="1"/>
  <c r="M170" i="61"/>
  <c r="BO170" i="61" s="1"/>
  <c r="M114" i="61"/>
  <c r="BO114" i="61" s="1"/>
  <c r="M92" i="61"/>
  <c r="BO92" i="61" s="1"/>
  <c r="M196" i="61"/>
  <c r="BO196" i="61" s="1"/>
  <c r="M188" i="61"/>
  <c r="BO188" i="61" s="1"/>
  <c r="M171" i="61"/>
  <c r="BO171" i="61" s="1"/>
  <c r="M123" i="61"/>
  <c r="BO123" i="61" s="1"/>
  <c r="M115" i="61"/>
  <c r="BO115" i="61" s="1"/>
  <c r="M59" i="61"/>
  <c r="BO59" i="61" s="1"/>
  <c r="M51" i="61"/>
  <c r="BO51" i="61" s="1"/>
  <c r="M29" i="61"/>
  <c r="BO29" i="61" s="1"/>
  <c r="M27" i="61"/>
  <c r="BO27" i="61" s="1"/>
  <c r="M17" i="61"/>
  <c r="BO17" i="61" s="1"/>
  <c r="M18" i="61"/>
  <c r="BO18" i="61" s="1"/>
  <c r="M10" i="61"/>
  <c r="BO10" i="61" s="1"/>
  <c r="M19" i="61"/>
  <c r="BO19" i="61" s="1"/>
  <c r="M11" i="61"/>
  <c r="BO11" i="61" s="1"/>
  <c r="M24" i="61"/>
  <c r="BO24" i="61" s="1"/>
  <c r="M20" i="61"/>
  <c r="BO20" i="61" s="1"/>
  <c r="M16" i="61"/>
  <c r="BO16" i="61" s="1"/>
  <c r="M14" i="61"/>
  <c r="BO14" i="61" s="1"/>
  <c r="M12" i="61"/>
  <c r="BO12" i="61" s="1"/>
  <c r="M165" i="61"/>
  <c r="BO165" i="61" s="1"/>
  <c r="M142" i="61"/>
  <c r="BO142" i="61" s="1"/>
  <c r="M138" i="61"/>
  <c r="BO138" i="61" s="1"/>
  <c r="M133" i="61"/>
  <c r="BO133" i="61" s="1"/>
  <c r="M101" i="61"/>
  <c r="BO101" i="61" s="1"/>
  <c r="M69" i="61"/>
  <c r="BO69" i="61" s="1"/>
  <c r="M37" i="61"/>
  <c r="BO37" i="61" s="1"/>
  <c r="M206" i="61"/>
  <c r="BO206" i="61" s="1"/>
  <c r="M202" i="61"/>
  <c r="BO202" i="61" s="1"/>
  <c r="M197" i="61"/>
  <c r="BO197" i="61" s="1"/>
  <c r="M194" i="61"/>
  <c r="BO194" i="61" s="1"/>
  <c r="M193" i="61"/>
  <c r="BO193" i="61" s="1"/>
  <c r="M189" i="61"/>
  <c r="BO189" i="61" s="1"/>
  <c r="M166" i="61"/>
  <c r="BO166" i="61" s="1"/>
  <c r="M156" i="61"/>
  <c r="BO156" i="61" s="1"/>
  <c r="M148" i="61"/>
  <c r="BO148" i="61" s="1"/>
  <c r="M125" i="61"/>
  <c r="BO125" i="61" s="1"/>
  <c r="M116" i="61"/>
  <c r="BO116" i="61" s="1"/>
  <c r="M93" i="61"/>
  <c r="BO93" i="61" s="1"/>
  <c r="M84" i="61"/>
  <c r="BO84" i="61" s="1"/>
  <c r="M61" i="61"/>
  <c r="BO61" i="61" s="1"/>
  <c r="M52" i="61"/>
  <c r="BO52" i="61" s="1"/>
  <c r="M195" i="61"/>
  <c r="BO195" i="61" s="1"/>
  <c r="M122" i="61"/>
  <c r="BO122" i="61" s="1"/>
  <c r="M90" i="61"/>
  <c r="BO90" i="61" s="1"/>
  <c r="M58" i="61"/>
  <c r="BO58" i="61" s="1"/>
  <c r="M26" i="61"/>
  <c r="BO26" i="61" s="1"/>
  <c r="M190" i="61"/>
  <c r="BO190" i="61" s="1"/>
  <c r="M176" i="61"/>
  <c r="BO176" i="61" s="1"/>
  <c r="M172" i="61"/>
  <c r="BO172" i="61" s="1"/>
  <c r="M154" i="61"/>
  <c r="BO154" i="61" s="1"/>
  <c r="M149" i="61"/>
  <c r="BO149" i="61" s="1"/>
  <c r="M117" i="61"/>
  <c r="BO117" i="61" s="1"/>
  <c r="M85" i="61"/>
  <c r="BO85" i="61" s="1"/>
  <c r="M53" i="61"/>
  <c r="BO53" i="61" s="1"/>
  <c r="M30" i="61"/>
  <c r="BO30" i="61" s="1"/>
  <c r="M155" i="61"/>
  <c r="BO155" i="61" s="1"/>
  <c r="M15" i="61"/>
  <c r="BO15" i="61" s="1"/>
  <c r="M200" i="61"/>
  <c r="BO200" i="61" s="1"/>
  <c r="M183" i="61"/>
  <c r="BO183" i="61" s="1"/>
  <c r="M153" i="61"/>
  <c r="BO153" i="61" s="1"/>
  <c r="M136" i="61"/>
  <c r="BO136" i="61" s="1"/>
  <c r="M126" i="61"/>
  <c r="BO126" i="61" s="1"/>
  <c r="M120" i="61"/>
  <c r="BO120" i="61" s="1"/>
  <c r="M110" i="61"/>
  <c r="BO110" i="61" s="1"/>
  <c r="M104" i="61"/>
  <c r="BO104" i="61" s="1"/>
  <c r="M94" i="61"/>
  <c r="BO94" i="61" s="1"/>
  <c r="M88" i="61"/>
  <c r="BO88" i="61" s="1"/>
  <c r="M78" i="61"/>
  <c r="BO78" i="61" s="1"/>
  <c r="M72" i="61"/>
  <c r="BO72" i="61" s="1"/>
  <c r="M62" i="61"/>
  <c r="BO62" i="61" s="1"/>
  <c r="M56" i="61"/>
  <c r="BO56" i="61" s="1"/>
  <c r="M46" i="61"/>
  <c r="BO46" i="61" s="1"/>
  <c r="M40" i="61"/>
  <c r="BO40" i="61" s="1"/>
  <c r="M207" i="61"/>
  <c r="BO207" i="61" s="1"/>
  <c r="M177" i="61"/>
  <c r="BO177" i="61" s="1"/>
  <c r="M160" i="61"/>
  <c r="BO160" i="61" s="1"/>
  <c r="M143" i="61"/>
  <c r="BO143" i="61" s="1"/>
  <c r="M201" i="61"/>
  <c r="BO201" i="61" s="1"/>
  <c r="M184" i="61"/>
  <c r="BO184" i="61" s="1"/>
  <c r="M167" i="61"/>
  <c r="BO167" i="61" s="1"/>
  <c r="M137" i="61"/>
  <c r="BO137" i="61" s="1"/>
  <c r="M127" i="61"/>
  <c r="BO127" i="61" s="1"/>
  <c r="M121" i="61"/>
  <c r="BO121" i="61" s="1"/>
  <c r="M111" i="61"/>
  <c r="BO111" i="61" s="1"/>
  <c r="M105" i="61"/>
  <c r="BO105" i="61" s="1"/>
  <c r="M95" i="61"/>
  <c r="BO95" i="61" s="1"/>
  <c r="M89" i="61"/>
  <c r="BO89" i="61" s="1"/>
  <c r="M79" i="61"/>
  <c r="BO79" i="61" s="1"/>
  <c r="M73" i="61"/>
  <c r="BO73" i="61" s="1"/>
  <c r="M63" i="61"/>
  <c r="BO63" i="61" s="1"/>
  <c r="M57" i="61"/>
  <c r="BO57" i="61" s="1"/>
  <c r="M47" i="61"/>
  <c r="BO47" i="61" s="1"/>
  <c r="M41" i="61"/>
  <c r="BO41" i="61" s="1"/>
  <c r="M191" i="61"/>
  <c r="BO191" i="61" s="1"/>
  <c r="M161" i="61"/>
  <c r="BO161" i="61" s="1"/>
  <c r="M144" i="61"/>
  <c r="BO144" i="61" s="1"/>
  <c r="M185" i="61"/>
  <c r="BO185" i="61" s="1"/>
  <c r="M168" i="61"/>
  <c r="BO168" i="61" s="1"/>
  <c r="M151" i="61"/>
  <c r="BO151" i="61" s="1"/>
  <c r="M134" i="61"/>
  <c r="BO134" i="61" s="1"/>
  <c r="M128" i="61"/>
  <c r="BO128" i="61" s="1"/>
  <c r="M118" i="61"/>
  <c r="BO118" i="61" s="1"/>
  <c r="M112" i="61"/>
  <c r="BO112" i="61" s="1"/>
  <c r="M102" i="61"/>
  <c r="BO102" i="61" s="1"/>
  <c r="M96" i="61"/>
  <c r="BO96" i="61" s="1"/>
  <c r="M86" i="61"/>
  <c r="BO86" i="61" s="1"/>
  <c r="M80" i="61"/>
  <c r="BO80" i="61" s="1"/>
  <c r="M70" i="61"/>
  <c r="BO70" i="61" s="1"/>
  <c r="M64" i="61"/>
  <c r="BO64" i="61" s="1"/>
  <c r="M54" i="61"/>
  <c r="BO54" i="61" s="1"/>
  <c r="M48" i="61"/>
  <c r="BO48" i="61" s="1"/>
  <c r="M38" i="61"/>
  <c r="BO38" i="61" s="1"/>
  <c r="M192" i="61"/>
  <c r="BO192" i="61" s="1"/>
  <c r="M175" i="61"/>
  <c r="BO175" i="61" s="1"/>
  <c r="M145" i="61"/>
  <c r="BO145" i="61" s="1"/>
  <c r="M199" i="61"/>
  <c r="BO199" i="61" s="1"/>
  <c r="M169" i="61"/>
  <c r="BO169" i="61" s="1"/>
  <c r="M152" i="61"/>
  <c r="BO152" i="61" s="1"/>
  <c r="M135" i="61"/>
  <c r="BO135" i="61" s="1"/>
  <c r="M129" i="61"/>
  <c r="BO129" i="61" s="1"/>
  <c r="M119" i="61"/>
  <c r="BO119" i="61" s="1"/>
  <c r="M113" i="61"/>
  <c r="BO113" i="61" s="1"/>
  <c r="M103" i="61"/>
  <c r="BO103" i="61" s="1"/>
  <c r="M97" i="61"/>
  <c r="BO97" i="61" s="1"/>
  <c r="M87" i="61"/>
  <c r="BO87" i="61" s="1"/>
  <c r="M81" i="61"/>
  <c r="BO81" i="61" s="1"/>
  <c r="M71" i="61"/>
  <c r="BO71" i="61" s="1"/>
  <c r="M65" i="61"/>
  <c r="BO65" i="61" s="1"/>
  <c r="M55" i="61"/>
  <c r="BO55" i="61" s="1"/>
  <c r="M49" i="61"/>
  <c r="BO49" i="61" s="1"/>
  <c r="M39" i="61"/>
  <c r="BO39" i="61" s="1"/>
  <c r="M33" i="61"/>
  <c r="BO33" i="61" s="1"/>
  <c r="M31" i="61"/>
  <c r="BO31" i="61" s="1"/>
  <c r="M25" i="61"/>
  <c r="BO25" i="61" s="1"/>
  <c r="M32" i="61"/>
  <c r="BO32" i="61" s="1"/>
  <c r="U264" i="61" l="1"/>
  <c r="AE264" i="61"/>
  <c r="M8" i="61"/>
  <c r="L264" i="61"/>
  <c r="V25" i="61"/>
  <c r="V57" i="61"/>
  <c r="V89" i="61"/>
  <c r="V121" i="61"/>
  <c r="V52" i="61"/>
  <c r="V84" i="61"/>
  <c r="V116" i="61"/>
  <c r="V148" i="61"/>
  <c r="V180" i="61"/>
  <c r="V55" i="61"/>
  <c r="V87" i="61"/>
  <c r="V119" i="61"/>
  <c r="V151" i="61"/>
  <c r="V20" i="61"/>
  <c r="V22" i="61"/>
  <c r="V149" i="61"/>
  <c r="V181" i="61"/>
  <c r="V34" i="61"/>
  <c r="V94" i="61"/>
  <c r="V154" i="61"/>
  <c r="V183" i="61"/>
  <c r="V46" i="61"/>
  <c r="V106" i="61"/>
  <c r="V170" i="61"/>
  <c r="V29" i="61"/>
  <c r="V61" i="61"/>
  <c r="V93" i="61"/>
  <c r="V24" i="61"/>
  <c r="V56" i="61"/>
  <c r="V88" i="61"/>
  <c r="V120" i="61"/>
  <c r="V152" i="61"/>
  <c r="V184" i="61"/>
  <c r="V27" i="61"/>
  <c r="V59" i="61"/>
  <c r="V91" i="61"/>
  <c r="V123" i="61"/>
  <c r="V155" i="61"/>
  <c r="V11" i="61"/>
  <c r="V26" i="61"/>
  <c r="V153" i="61"/>
  <c r="V185" i="61"/>
  <c r="V38" i="61"/>
  <c r="V102" i="61"/>
  <c r="V162" i="61"/>
  <c r="V187" i="61"/>
  <c r="V50" i="61"/>
  <c r="V114" i="61"/>
  <c r="V178" i="61"/>
  <c r="V33" i="61"/>
  <c r="V65" i="61"/>
  <c r="V97" i="61"/>
  <c r="V28" i="61"/>
  <c r="V60" i="61"/>
  <c r="V92" i="61"/>
  <c r="V124" i="61"/>
  <c r="V156" i="61"/>
  <c r="V188" i="61"/>
  <c r="V31" i="61"/>
  <c r="V63" i="61"/>
  <c r="V95" i="61"/>
  <c r="V127" i="61"/>
  <c r="V159" i="61"/>
  <c r="V15" i="61"/>
  <c r="V125" i="61"/>
  <c r="V157" i="61"/>
  <c r="V189" i="61"/>
  <c r="V42" i="61"/>
  <c r="V110" i="61"/>
  <c r="V174" i="61"/>
  <c r="V191" i="61"/>
  <c r="V58" i="61"/>
  <c r="V126" i="61"/>
  <c r="V186" i="61"/>
  <c r="V37" i="61"/>
  <c r="V69" i="61"/>
  <c r="V101" i="61"/>
  <c r="V32" i="61"/>
  <c r="V64" i="61"/>
  <c r="V96" i="61"/>
  <c r="V128" i="61"/>
  <c r="V160" i="61"/>
  <c r="V192" i="61"/>
  <c r="V35" i="61"/>
  <c r="V67" i="61"/>
  <c r="V99" i="61"/>
  <c r="V131" i="61"/>
  <c r="V163" i="61"/>
  <c r="V19" i="61"/>
  <c r="V129" i="61"/>
  <c r="V161" i="61"/>
  <c r="V193" i="61"/>
  <c r="V54" i="61"/>
  <c r="V118" i="61"/>
  <c r="V182" i="61"/>
  <c r="V195" i="61"/>
  <c r="V66" i="61"/>
  <c r="V134" i="61"/>
  <c r="V194" i="61"/>
  <c r="V9" i="61"/>
  <c r="V41" i="61"/>
  <c r="V73" i="61"/>
  <c r="V105" i="61"/>
  <c r="V36" i="61"/>
  <c r="V68" i="61"/>
  <c r="V100" i="61"/>
  <c r="V132" i="61"/>
  <c r="V164" i="61"/>
  <c r="V196" i="61"/>
  <c r="V39" i="61"/>
  <c r="V71" i="61"/>
  <c r="V103" i="61"/>
  <c r="V135" i="61"/>
  <c r="V167" i="61"/>
  <c r="V23" i="61"/>
  <c r="V133" i="61"/>
  <c r="V165" i="61"/>
  <c r="V197" i="61"/>
  <c r="V62" i="61"/>
  <c r="V122" i="61"/>
  <c r="V190" i="61"/>
  <c r="V199" i="61"/>
  <c r="V74" i="61"/>
  <c r="V138" i="61"/>
  <c r="V198" i="61"/>
  <c r="V30" i="61"/>
  <c r="V175" i="61"/>
  <c r="V13" i="61"/>
  <c r="V45" i="61"/>
  <c r="V77" i="61"/>
  <c r="V109" i="61"/>
  <c r="V40" i="61"/>
  <c r="V72" i="61"/>
  <c r="V104" i="61"/>
  <c r="V136" i="61"/>
  <c r="V168" i="61"/>
  <c r="V200" i="61"/>
  <c r="V43" i="61"/>
  <c r="V75" i="61"/>
  <c r="V107" i="61"/>
  <c r="V139" i="61"/>
  <c r="V171" i="61"/>
  <c r="V10" i="61"/>
  <c r="V137" i="61"/>
  <c r="V169" i="61"/>
  <c r="V201" i="61"/>
  <c r="V70" i="61"/>
  <c r="V130" i="61"/>
  <c r="V206" i="61"/>
  <c r="V203" i="61"/>
  <c r="V82" i="61"/>
  <c r="V150" i="61"/>
  <c r="V202" i="61"/>
  <c r="V17" i="61"/>
  <c r="V49" i="61"/>
  <c r="V81" i="61"/>
  <c r="V113" i="61"/>
  <c r="V44" i="61"/>
  <c r="V76" i="61"/>
  <c r="V108" i="61"/>
  <c r="V140" i="61"/>
  <c r="V172" i="61"/>
  <c r="V204" i="61"/>
  <c r="V47" i="61"/>
  <c r="V79" i="61"/>
  <c r="V111" i="61"/>
  <c r="V143" i="61"/>
  <c r="V12" i="61"/>
  <c r="V14" i="61"/>
  <c r="V141" i="61"/>
  <c r="V173" i="61"/>
  <c r="V205" i="61"/>
  <c r="V78" i="61"/>
  <c r="V142" i="61"/>
  <c r="V207" i="61"/>
  <c r="V90" i="61"/>
  <c r="V158" i="61"/>
  <c r="V21" i="61"/>
  <c r="V53" i="61"/>
  <c r="V85" i="61"/>
  <c r="V117" i="61"/>
  <c r="V48" i="61"/>
  <c r="V80" i="61"/>
  <c r="V112" i="61"/>
  <c r="V144" i="61"/>
  <c r="V176" i="61"/>
  <c r="V51" i="61"/>
  <c r="V83" i="61"/>
  <c r="V115" i="61"/>
  <c r="V147" i="61"/>
  <c r="V16" i="61"/>
  <c r="V18" i="61"/>
  <c r="V145" i="61"/>
  <c r="V177" i="61"/>
  <c r="V86" i="61"/>
  <c r="V146" i="61"/>
  <c r="V179" i="61"/>
  <c r="V98" i="61"/>
  <c r="V166" i="61"/>
  <c r="V8" i="61"/>
  <c r="V264" i="61" l="1"/>
  <c r="M264" i="61"/>
  <c r="BO8" i="61"/>
  <c r="AU71" i="49"/>
  <c r="AV71" i="49"/>
  <c r="AW71" i="49"/>
  <c r="AX71" i="49"/>
  <c r="AY71" i="49"/>
  <c r="AZ71" i="49"/>
  <c r="BA71" i="49"/>
  <c r="AU72" i="49"/>
  <c r="AV72" i="49"/>
  <c r="AW72" i="49"/>
  <c r="AX72" i="49"/>
  <c r="AY72" i="49"/>
  <c r="AZ72" i="49"/>
  <c r="BA72" i="49"/>
  <c r="AU73" i="49"/>
  <c r="AV73" i="49"/>
  <c r="AW73" i="49"/>
  <c r="AX73" i="49"/>
  <c r="AY73" i="49"/>
  <c r="AZ73" i="49"/>
  <c r="BA73" i="49"/>
  <c r="AU74" i="49"/>
  <c r="AV74" i="49"/>
  <c r="AW74" i="49"/>
  <c r="AX74" i="49"/>
  <c r="AY74" i="49"/>
  <c r="AZ74" i="49"/>
  <c r="BA74" i="49"/>
  <c r="AU75" i="49"/>
  <c r="AV75" i="49"/>
  <c r="AW75" i="49"/>
  <c r="AX75" i="49"/>
  <c r="AY75" i="49"/>
  <c r="AZ75" i="49"/>
  <c r="BA75" i="49"/>
  <c r="AU76" i="49"/>
  <c r="AV76" i="49"/>
  <c r="AW76" i="49"/>
  <c r="AX76" i="49"/>
  <c r="AY76" i="49"/>
  <c r="AZ76" i="49"/>
  <c r="BA76" i="49"/>
  <c r="AU77" i="49"/>
  <c r="AV77" i="49"/>
  <c r="AW77" i="49"/>
  <c r="AX77" i="49"/>
  <c r="AY77" i="49"/>
  <c r="AZ77" i="49"/>
  <c r="BA77" i="49"/>
  <c r="AU78" i="49"/>
  <c r="AV78" i="49"/>
  <c r="AW78" i="49"/>
  <c r="AX78" i="49"/>
  <c r="AY78" i="49"/>
  <c r="AZ78" i="49"/>
  <c r="BA78" i="49"/>
  <c r="AU79" i="49"/>
  <c r="AV79" i="49"/>
  <c r="AW79" i="49"/>
  <c r="AX79" i="49"/>
  <c r="AY79" i="49"/>
  <c r="AZ79" i="49"/>
  <c r="BA79" i="49"/>
  <c r="AU80" i="49"/>
  <c r="AV80" i="49"/>
  <c r="AW80" i="49"/>
  <c r="AX80" i="49"/>
  <c r="AY80" i="49"/>
  <c r="AZ80" i="49"/>
  <c r="BA80" i="49"/>
  <c r="AU81" i="49"/>
  <c r="AV81" i="49"/>
  <c r="AW81" i="49"/>
  <c r="AX81" i="49"/>
  <c r="AY81" i="49"/>
  <c r="AZ81" i="49"/>
  <c r="BA81" i="49"/>
  <c r="AU82" i="49"/>
  <c r="AV82" i="49"/>
  <c r="AW82" i="49"/>
  <c r="AX82" i="49"/>
  <c r="AY82" i="49"/>
  <c r="AZ82" i="49"/>
  <c r="BA82" i="49"/>
  <c r="AU83" i="49"/>
  <c r="AV83" i="49"/>
  <c r="AW83" i="49"/>
  <c r="AX83" i="49"/>
  <c r="AY83" i="49"/>
  <c r="AZ83" i="49"/>
  <c r="BA83" i="49"/>
  <c r="AU84" i="49"/>
  <c r="AV84" i="49"/>
  <c r="AW84" i="49"/>
  <c r="AX84" i="49"/>
  <c r="AY84" i="49"/>
  <c r="AZ84" i="49"/>
  <c r="BA84" i="49"/>
  <c r="AU85" i="49"/>
  <c r="AV85" i="49"/>
  <c r="AW85" i="49"/>
  <c r="AX85" i="49"/>
  <c r="AY85" i="49"/>
  <c r="AZ85" i="49"/>
  <c r="BA85" i="49"/>
  <c r="AU86" i="49"/>
  <c r="AV86" i="49"/>
  <c r="AW86" i="49"/>
  <c r="AX86" i="49"/>
  <c r="AY86" i="49"/>
  <c r="AZ86" i="49"/>
  <c r="BA86" i="49"/>
  <c r="AU87" i="49"/>
  <c r="AV87" i="49"/>
  <c r="AW87" i="49"/>
  <c r="AX87" i="49"/>
  <c r="AY87" i="49"/>
  <c r="AZ87" i="49"/>
  <c r="BA87" i="49"/>
  <c r="AU88" i="49"/>
  <c r="AV88" i="49"/>
  <c r="AW88" i="49"/>
  <c r="AX88" i="49"/>
  <c r="AY88" i="49"/>
  <c r="AZ88" i="49"/>
  <c r="BA88" i="49"/>
  <c r="AU89" i="49"/>
  <c r="AV89" i="49"/>
  <c r="AW89" i="49"/>
  <c r="AX89" i="49"/>
  <c r="AY89" i="49"/>
  <c r="AZ89" i="49"/>
  <c r="BA89" i="49"/>
  <c r="AU90" i="49"/>
  <c r="AV90" i="49"/>
  <c r="AW90" i="49"/>
  <c r="AX90" i="49"/>
  <c r="AY90" i="49"/>
  <c r="AZ90" i="49"/>
  <c r="BA90" i="49"/>
  <c r="AU91" i="49"/>
  <c r="AV91" i="49"/>
  <c r="AW91" i="49"/>
  <c r="AX91" i="49"/>
  <c r="AY91" i="49"/>
  <c r="AZ91" i="49"/>
  <c r="BA91" i="49"/>
  <c r="AU92" i="49"/>
  <c r="AV92" i="49"/>
  <c r="AW92" i="49"/>
  <c r="AX92" i="49"/>
  <c r="AY92" i="49"/>
  <c r="AZ92" i="49"/>
  <c r="BA92" i="49"/>
  <c r="AU93" i="49"/>
  <c r="AV93" i="49"/>
  <c r="AW93" i="49"/>
  <c r="AX93" i="49"/>
  <c r="AY93" i="49"/>
  <c r="AZ93" i="49"/>
  <c r="BA93" i="49"/>
  <c r="AU94" i="49"/>
  <c r="AV94" i="49"/>
  <c r="AW94" i="49"/>
  <c r="AX94" i="49"/>
  <c r="AY94" i="49"/>
  <c r="AZ94" i="49"/>
  <c r="BA94" i="49"/>
  <c r="AU95" i="49"/>
  <c r="AV95" i="49"/>
  <c r="AW95" i="49"/>
  <c r="AX95" i="49"/>
  <c r="AY95" i="49"/>
  <c r="AZ95" i="49"/>
  <c r="BA95" i="49"/>
  <c r="AU96" i="49"/>
  <c r="AV96" i="49"/>
  <c r="AW96" i="49"/>
  <c r="AX96" i="49"/>
  <c r="AY96" i="49"/>
  <c r="AZ96" i="49"/>
  <c r="BA96" i="49"/>
  <c r="AU97" i="49"/>
  <c r="AV97" i="49"/>
  <c r="AW97" i="49"/>
  <c r="AX97" i="49"/>
  <c r="AY97" i="49"/>
  <c r="AZ97" i="49"/>
  <c r="BA97" i="49"/>
  <c r="AU98" i="49"/>
  <c r="AV98" i="49"/>
  <c r="AW98" i="49"/>
  <c r="AX98" i="49"/>
  <c r="AY98" i="49"/>
  <c r="AZ98" i="49"/>
  <c r="BA98" i="49"/>
  <c r="AU99" i="49"/>
  <c r="AV99" i="49"/>
  <c r="AW99" i="49"/>
  <c r="AX99" i="49"/>
  <c r="AY99" i="49"/>
  <c r="AZ99" i="49"/>
  <c r="BA99" i="49"/>
  <c r="AU100" i="49"/>
  <c r="AV100" i="49"/>
  <c r="AW100" i="49"/>
  <c r="AX100" i="49"/>
  <c r="AY100" i="49"/>
  <c r="AZ100" i="49"/>
  <c r="BA100" i="49"/>
  <c r="AU101" i="49"/>
  <c r="AV101" i="49"/>
  <c r="AW101" i="49"/>
  <c r="AX101" i="49"/>
  <c r="AY101" i="49"/>
  <c r="AZ101" i="49"/>
  <c r="BA101" i="49"/>
  <c r="AU102" i="49"/>
  <c r="AV102" i="49"/>
  <c r="AW102" i="49"/>
  <c r="AX102" i="49"/>
  <c r="AY102" i="49"/>
  <c r="AZ102" i="49"/>
  <c r="BA102" i="49"/>
  <c r="AU103" i="49"/>
  <c r="AV103" i="49"/>
  <c r="AW103" i="49"/>
  <c r="AX103" i="49"/>
  <c r="AY103" i="49"/>
  <c r="AZ103" i="49"/>
  <c r="BA103" i="49"/>
  <c r="AU104" i="49"/>
  <c r="AV104" i="49"/>
  <c r="AW104" i="49"/>
  <c r="AX104" i="49"/>
  <c r="AY104" i="49"/>
  <c r="AZ104" i="49"/>
  <c r="BA104" i="49"/>
  <c r="AU105" i="49"/>
  <c r="AV105" i="49"/>
  <c r="AW105" i="49"/>
  <c r="AX105" i="49"/>
  <c r="AY105" i="49"/>
  <c r="AZ105" i="49"/>
  <c r="BA105" i="49"/>
  <c r="AU106" i="49"/>
  <c r="AV106" i="49"/>
  <c r="AW106" i="49"/>
  <c r="AX106" i="49"/>
  <c r="AY106" i="49"/>
  <c r="AZ106" i="49"/>
  <c r="BA106" i="49"/>
  <c r="AU107" i="49"/>
  <c r="AV107" i="49"/>
  <c r="AW107" i="49"/>
  <c r="AX107" i="49"/>
  <c r="AY107" i="49"/>
  <c r="AZ107" i="49"/>
  <c r="BA107" i="49"/>
  <c r="AU108" i="49"/>
  <c r="AV108" i="49"/>
  <c r="AW108" i="49"/>
  <c r="AX108" i="49"/>
  <c r="AY108" i="49"/>
  <c r="AZ108" i="49"/>
  <c r="BA108" i="49"/>
  <c r="AU109" i="49"/>
  <c r="AV109" i="49"/>
  <c r="AW109" i="49"/>
  <c r="AX109" i="49"/>
  <c r="AY109" i="49"/>
  <c r="AZ109" i="49"/>
  <c r="BA109" i="49"/>
  <c r="AU110" i="49"/>
  <c r="AV110" i="49"/>
  <c r="AW110" i="49"/>
  <c r="AX110" i="49"/>
  <c r="AY110" i="49"/>
  <c r="AZ110" i="49"/>
  <c r="BA110" i="49"/>
  <c r="AU111" i="49"/>
  <c r="AV111" i="49"/>
  <c r="AW111" i="49"/>
  <c r="AX111" i="49"/>
  <c r="AY111" i="49"/>
  <c r="AZ111" i="49"/>
  <c r="BA111" i="49"/>
  <c r="AU112" i="49"/>
  <c r="AV112" i="49"/>
  <c r="AW112" i="49"/>
  <c r="AX112" i="49"/>
  <c r="AY112" i="49"/>
  <c r="AZ112" i="49"/>
  <c r="BA112" i="49"/>
  <c r="AU113" i="49"/>
  <c r="AV113" i="49"/>
  <c r="AW113" i="49"/>
  <c r="AX113" i="49"/>
  <c r="AY113" i="49"/>
  <c r="AZ113" i="49"/>
  <c r="BA113" i="49"/>
  <c r="AU114" i="49"/>
  <c r="AV114" i="49"/>
  <c r="AW114" i="49"/>
  <c r="AX114" i="49"/>
  <c r="AY114" i="49"/>
  <c r="AZ114" i="49"/>
  <c r="BA114" i="49"/>
  <c r="AU115" i="49"/>
  <c r="AV115" i="49"/>
  <c r="AW115" i="49"/>
  <c r="AX115" i="49"/>
  <c r="AY115" i="49"/>
  <c r="AZ115" i="49"/>
  <c r="BA115" i="49"/>
  <c r="AU116" i="49"/>
  <c r="AV116" i="49"/>
  <c r="AW116" i="49"/>
  <c r="AX116" i="49"/>
  <c r="AY116" i="49"/>
  <c r="AZ116" i="49"/>
  <c r="BA116" i="49"/>
  <c r="AU117" i="49"/>
  <c r="AV117" i="49"/>
  <c r="AW117" i="49"/>
  <c r="AX117" i="49"/>
  <c r="AY117" i="49"/>
  <c r="AZ117" i="49"/>
  <c r="BA117" i="49"/>
  <c r="AU118" i="49"/>
  <c r="AV118" i="49"/>
  <c r="AW118" i="49"/>
  <c r="AX118" i="49"/>
  <c r="AY118" i="49"/>
  <c r="AZ118" i="49"/>
  <c r="BA118" i="49"/>
  <c r="AU119" i="49"/>
  <c r="AV119" i="49"/>
  <c r="AW119" i="49"/>
  <c r="AX119" i="49"/>
  <c r="AY119" i="49"/>
  <c r="AZ119" i="49"/>
  <c r="BA119" i="49"/>
  <c r="AU120" i="49"/>
  <c r="AV120" i="49"/>
  <c r="AW120" i="49"/>
  <c r="AX120" i="49"/>
  <c r="AY120" i="49"/>
  <c r="AZ120" i="49"/>
  <c r="BA120" i="49"/>
  <c r="AU121" i="49"/>
  <c r="AV121" i="49"/>
  <c r="AW121" i="49"/>
  <c r="AX121" i="49"/>
  <c r="AY121" i="49"/>
  <c r="AZ121" i="49"/>
  <c r="BA121" i="49"/>
  <c r="AU122" i="49"/>
  <c r="AV122" i="49"/>
  <c r="AW122" i="49"/>
  <c r="AX122" i="49"/>
  <c r="AY122" i="49"/>
  <c r="AZ122" i="49"/>
  <c r="BA122" i="49"/>
  <c r="AU123" i="49"/>
  <c r="AV123" i="49"/>
  <c r="AW123" i="49"/>
  <c r="AX123" i="49"/>
  <c r="AY123" i="49"/>
  <c r="AZ123" i="49"/>
  <c r="BA123" i="49"/>
  <c r="AU124" i="49"/>
  <c r="AV124" i="49"/>
  <c r="AW124" i="49"/>
  <c r="AX124" i="49"/>
  <c r="AY124" i="49"/>
  <c r="AZ124" i="49"/>
  <c r="BA124" i="49"/>
  <c r="AU125" i="49"/>
  <c r="AV125" i="49"/>
  <c r="AW125" i="49"/>
  <c r="AX125" i="49"/>
  <c r="AY125" i="49"/>
  <c r="AZ125" i="49"/>
  <c r="BA125" i="49"/>
  <c r="AU126" i="49"/>
  <c r="AV126" i="49"/>
  <c r="AW126" i="49"/>
  <c r="AX126" i="49"/>
  <c r="AY126" i="49"/>
  <c r="AZ126" i="49"/>
  <c r="BA126" i="49"/>
  <c r="AU127" i="49"/>
  <c r="AV127" i="49"/>
  <c r="AW127" i="49"/>
  <c r="AX127" i="49"/>
  <c r="AY127" i="49"/>
  <c r="AZ127" i="49"/>
  <c r="BA127" i="49"/>
  <c r="AU128" i="49"/>
  <c r="AV128" i="49"/>
  <c r="AW128" i="49"/>
  <c r="AX128" i="49"/>
  <c r="AY128" i="49"/>
  <c r="AZ128" i="49"/>
  <c r="BA128" i="49"/>
  <c r="AU129" i="49"/>
  <c r="AV129" i="49"/>
  <c r="AW129" i="49"/>
  <c r="AX129" i="49"/>
  <c r="AY129" i="49"/>
  <c r="AZ129" i="49"/>
  <c r="BA129" i="49"/>
  <c r="AU130" i="49"/>
  <c r="AV130" i="49"/>
  <c r="AW130" i="49"/>
  <c r="AX130" i="49"/>
  <c r="AY130" i="49"/>
  <c r="AZ130" i="49"/>
  <c r="BA130" i="49"/>
  <c r="AU131" i="49"/>
  <c r="AV131" i="49"/>
  <c r="AW131" i="49"/>
  <c r="AX131" i="49"/>
  <c r="AY131" i="49"/>
  <c r="AZ131" i="49"/>
  <c r="BA131" i="49"/>
  <c r="AU132" i="49"/>
  <c r="AV132" i="49"/>
  <c r="AW132" i="49"/>
  <c r="AX132" i="49"/>
  <c r="AY132" i="49"/>
  <c r="AZ132" i="49"/>
  <c r="BA132" i="49"/>
  <c r="AU133" i="49"/>
  <c r="AV133" i="49"/>
  <c r="AW133" i="49"/>
  <c r="AX133" i="49"/>
  <c r="AY133" i="49"/>
  <c r="AZ133" i="49"/>
  <c r="BA133" i="49"/>
  <c r="AU134" i="49"/>
  <c r="AV134" i="49"/>
  <c r="AW134" i="49"/>
  <c r="AX134" i="49"/>
  <c r="AY134" i="49"/>
  <c r="AZ134" i="49"/>
  <c r="BA134" i="49"/>
  <c r="AU135" i="49"/>
  <c r="AV135" i="49"/>
  <c r="AW135" i="49"/>
  <c r="AX135" i="49"/>
  <c r="AY135" i="49"/>
  <c r="AZ135" i="49"/>
  <c r="BA135" i="49"/>
  <c r="AU136" i="49"/>
  <c r="AV136" i="49"/>
  <c r="AW136" i="49"/>
  <c r="AX136" i="49"/>
  <c r="AY136" i="49"/>
  <c r="AZ136" i="49"/>
  <c r="BA136" i="49"/>
  <c r="AU137" i="49"/>
  <c r="AV137" i="49"/>
  <c r="AW137" i="49"/>
  <c r="AX137" i="49"/>
  <c r="AY137" i="49"/>
  <c r="AZ137" i="49"/>
  <c r="BA137" i="49"/>
  <c r="AU138" i="49"/>
  <c r="AV138" i="49"/>
  <c r="AW138" i="49"/>
  <c r="AX138" i="49"/>
  <c r="AY138" i="49"/>
  <c r="AZ138" i="49"/>
  <c r="BA138" i="49"/>
  <c r="AU139" i="49"/>
  <c r="AV139" i="49"/>
  <c r="AW139" i="49"/>
  <c r="AX139" i="49"/>
  <c r="AY139" i="49"/>
  <c r="AZ139" i="49"/>
  <c r="BA139" i="49"/>
  <c r="AU140" i="49"/>
  <c r="AV140" i="49"/>
  <c r="AW140" i="49"/>
  <c r="AX140" i="49"/>
  <c r="AY140" i="49"/>
  <c r="AZ140" i="49"/>
  <c r="BA140" i="49"/>
  <c r="AU141" i="49"/>
  <c r="AV141" i="49"/>
  <c r="AW141" i="49"/>
  <c r="AX141" i="49"/>
  <c r="AY141" i="49"/>
  <c r="AZ141" i="49"/>
  <c r="BA141" i="49"/>
  <c r="AU142" i="49"/>
  <c r="AV142" i="49"/>
  <c r="AW142" i="49"/>
  <c r="AX142" i="49"/>
  <c r="AY142" i="49"/>
  <c r="AZ142" i="49"/>
  <c r="BA142" i="49"/>
  <c r="AU143" i="49"/>
  <c r="AV143" i="49"/>
  <c r="AW143" i="49"/>
  <c r="AX143" i="49"/>
  <c r="AY143" i="49"/>
  <c r="AZ143" i="49"/>
  <c r="BA143" i="49"/>
  <c r="AU144" i="49"/>
  <c r="AV144" i="49"/>
  <c r="AW144" i="49"/>
  <c r="AX144" i="49"/>
  <c r="AY144" i="49"/>
  <c r="AZ144" i="49"/>
  <c r="BA144" i="49"/>
  <c r="AU145" i="49"/>
  <c r="AV145" i="49"/>
  <c r="AW145" i="49"/>
  <c r="AX145" i="49"/>
  <c r="AY145" i="49"/>
  <c r="AZ145" i="49"/>
  <c r="BA145" i="49"/>
  <c r="AU146" i="49"/>
  <c r="AV146" i="49"/>
  <c r="AW146" i="49"/>
  <c r="AX146" i="49"/>
  <c r="AY146" i="49"/>
  <c r="AZ146" i="49"/>
  <c r="BA146" i="49"/>
  <c r="AU147" i="49"/>
  <c r="AV147" i="49"/>
  <c r="AW147" i="49"/>
  <c r="AX147" i="49"/>
  <c r="AY147" i="49"/>
  <c r="AZ147" i="49"/>
  <c r="BA147" i="49"/>
  <c r="AU148" i="49"/>
  <c r="AV148" i="49"/>
  <c r="AW148" i="49"/>
  <c r="AX148" i="49"/>
  <c r="AY148" i="49"/>
  <c r="AZ148" i="49"/>
  <c r="BA148" i="49"/>
  <c r="AU149" i="49"/>
  <c r="AV149" i="49"/>
  <c r="AW149" i="49"/>
  <c r="AX149" i="49"/>
  <c r="AY149" i="49"/>
  <c r="AZ149" i="49"/>
  <c r="BA149" i="49"/>
  <c r="AU150" i="49"/>
  <c r="AV150" i="49"/>
  <c r="AW150" i="49"/>
  <c r="AX150" i="49"/>
  <c r="AY150" i="49"/>
  <c r="AZ150" i="49"/>
  <c r="BA150" i="49"/>
  <c r="AU151" i="49"/>
  <c r="AV151" i="49"/>
  <c r="AW151" i="49"/>
  <c r="AX151" i="49"/>
  <c r="AY151" i="49"/>
  <c r="AZ151" i="49"/>
  <c r="BA151" i="49"/>
  <c r="AU152" i="49"/>
  <c r="AV152" i="49"/>
  <c r="AW152" i="49"/>
  <c r="AX152" i="49"/>
  <c r="AY152" i="49"/>
  <c r="AZ152" i="49"/>
  <c r="BA152" i="49"/>
  <c r="AU154" i="49"/>
  <c r="AV154" i="49"/>
  <c r="AW154" i="49"/>
  <c r="AX154" i="49"/>
  <c r="AY154" i="49"/>
  <c r="AZ154" i="49"/>
  <c r="BA154" i="49"/>
  <c r="AU155" i="49"/>
  <c r="AV155" i="49"/>
  <c r="AW155" i="49"/>
  <c r="AX155" i="49"/>
  <c r="AY155" i="49"/>
  <c r="AZ155" i="49"/>
  <c r="BA155" i="49"/>
  <c r="AU156" i="49"/>
  <c r="AV156" i="49"/>
  <c r="AW156" i="49"/>
  <c r="AX156" i="49"/>
  <c r="AY156" i="49"/>
  <c r="AZ156" i="49"/>
  <c r="BA156" i="49"/>
  <c r="AU157" i="49"/>
  <c r="AV157" i="49"/>
  <c r="AW157" i="49"/>
  <c r="AX157" i="49"/>
  <c r="AY157" i="49"/>
  <c r="AZ157" i="49"/>
  <c r="BA157" i="49"/>
  <c r="AU158" i="49"/>
  <c r="AV158" i="49"/>
  <c r="AW158" i="49"/>
  <c r="AX158" i="49"/>
  <c r="AY158" i="49"/>
  <c r="AZ158" i="49"/>
  <c r="BA158" i="49"/>
  <c r="AU159" i="49"/>
  <c r="AV159" i="49"/>
  <c r="AW159" i="49"/>
  <c r="AX159" i="49"/>
  <c r="AY159" i="49"/>
  <c r="AZ159" i="49"/>
  <c r="BA159" i="49"/>
  <c r="AU160" i="49"/>
  <c r="AV160" i="49"/>
  <c r="AW160" i="49"/>
  <c r="AX160" i="49"/>
  <c r="AY160" i="49"/>
  <c r="AZ160" i="49"/>
  <c r="BA160" i="49"/>
  <c r="AU161" i="49"/>
  <c r="AV161" i="49"/>
  <c r="AW161" i="49"/>
  <c r="AX161" i="49"/>
  <c r="AY161" i="49"/>
  <c r="AZ161" i="49"/>
  <c r="BA161" i="49"/>
  <c r="AU162" i="49"/>
  <c r="AV162" i="49"/>
  <c r="AW162" i="49"/>
  <c r="AX162" i="49"/>
  <c r="AY162" i="49"/>
  <c r="AZ162" i="49"/>
  <c r="BA162" i="49"/>
  <c r="AU163" i="49"/>
  <c r="AV163" i="49"/>
  <c r="AW163" i="49"/>
  <c r="AX163" i="49"/>
  <c r="AY163" i="49"/>
  <c r="AZ163" i="49"/>
  <c r="BA163" i="49"/>
  <c r="AU164" i="49"/>
  <c r="AV164" i="49"/>
  <c r="AW164" i="49"/>
  <c r="AX164" i="49"/>
  <c r="AY164" i="49"/>
  <c r="AZ164" i="49"/>
  <c r="BA164" i="49"/>
  <c r="AU165" i="49"/>
  <c r="AV165" i="49"/>
  <c r="AW165" i="49"/>
  <c r="AX165" i="49"/>
  <c r="AY165" i="49"/>
  <c r="AZ165" i="49"/>
  <c r="BA165" i="49"/>
  <c r="AU166" i="49"/>
  <c r="AV166" i="49"/>
  <c r="AW166" i="49"/>
  <c r="AX166" i="49"/>
  <c r="AY166" i="49"/>
  <c r="AZ166" i="49"/>
  <c r="BA166" i="49"/>
  <c r="AU167" i="49"/>
  <c r="AV167" i="49"/>
  <c r="AW167" i="49"/>
  <c r="AX167" i="49"/>
  <c r="AY167" i="49"/>
  <c r="AZ167" i="49"/>
  <c r="BA167" i="49"/>
  <c r="AU168" i="49"/>
  <c r="AV168" i="49"/>
  <c r="AW168" i="49"/>
  <c r="AX168" i="49"/>
  <c r="AY168" i="49"/>
  <c r="AZ168" i="49"/>
  <c r="BA168" i="49"/>
  <c r="AU169" i="49"/>
  <c r="AV169" i="49"/>
  <c r="AW169" i="49"/>
  <c r="AX169" i="49"/>
  <c r="AY169" i="49"/>
  <c r="AZ169" i="49"/>
  <c r="BA169" i="49"/>
  <c r="AU170" i="49"/>
  <c r="AV170" i="49"/>
  <c r="AW170" i="49"/>
  <c r="AX170" i="49"/>
  <c r="AY170" i="49"/>
  <c r="AZ170" i="49"/>
  <c r="BA170" i="49"/>
  <c r="AU171" i="49"/>
  <c r="AV171" i="49"/>
  <c r="AW171" i="49"/>
  <c r="AX171" i="49"/>
  <c r="AY171" i="49"/>
  <c r="AZ171" i="49"/>
  <c r="BA171" i="49"/>
  <c r="AU172" i="49"/>
  <c r="AV172" i="49"/>
  <c r="AW172" i="49"/>
  <c r="AX172" i="49"/>
  <c r="AY172" i="49"/>
  <c r="AZ172" i="49"/>
  <c r="BA172" i="49"/>
  <c r="AU173" i="49"/>
  <c r="AV173" i="49"/>
  <c r="AW173" i="49"/>
  <c r="AX173" i="49"/>
  <c r="AY173" i="49"/>
  <c r="AZ173" i="49"/>
  <c r="BA173" i="49"/>
  <c r="AU174" i="49"/>
  <c r="AV174" i="49"/>
  <c r="AW174" i="49"/>
  <c r="AX174" i="49"/>
  <c r="AY174" i="49"/>
  <c r="AZ174" i="49"/>
  <c r="BA174" i="49"/>
  <c r="AU175" i="49"/>
  <c r="AV175" i="49"/>
  <c r="AW175" i="49"/>
  <c r="AX175" i="49"/>
  <c r="AY175" i="49"/>
  <c r="AZ175" i="49"/>
  <c r="BA175" i="49"/>
  <c r="AU176" i="49"/>
  <c r="AV176" i="49"/>
  <c r="AW176" i="49"/>
  <c r="AX176" i="49"/>
  <c r="AY176" i="49"/>
  <c r="AZ176" i="49"/>
  <c r="BA176" i="49"/>
  <c r="AU177" i="49"/>
  <c r="AV177" i="49"/>
  <c r="AW177" i="49"/>
  <c r="AX177" i="49"/>
  <c r="AY177" i="49"/>
  <c r="AZ177" i="49"/>
  <c r="BA177" i="49"/>
  <c r="AU178" i="49"/>
  <c r="AV178" i="49"/>
  <c r="AW178" i="49"/>
  <c r="AX178" i="49"/>
  <c r="AY178" i="49"/>
  <c r="AZ178" i="49"/>
  <c r="BA178" i="49"/>
  <c r="AU179" i="49"/>
  <c r="AV179" i="49"/>
  <c r="AW179" i="49"/>
  <c r="AX179" i="49"/>
  <c r="AY179" i="49"/>
  <c r="AZ179" i="49"/>
  <c r="BA179" i="49"/>
  <c r="AU180" i="49"/>
  <c r="AV180" i="49"/>
  <c r="AW180" i="49"/>
  <c r="AX180" i="49"/>
  <c r="AY180" i="49"/>
  <c r="AZ180" i="49"/>
  <c r="BA180" i="49"/>
  <c r="AU181" i="49"/>
  <c r="AV181" i="49"/>
  <c r="AW181" i="49"/>
  <c r="AX181" i="49"/>
  <c r="AY181" i="49"/>
  <c r="AZ181" i="49"/>
  <c r="BA181" i="49"/>
  <c r="AU182" i="49"/>
  <c r="AV182" i="49"/>
  <c r="AW182" i="49"/>
  <c r="AX182" i="49"/>
  <c r="AY182" i="49"/>
  <c r="AZ182" i="49"/>
  <c r="BA182" i="49"/>
  <c r="AU183" i="49"/>
  <c r="AV183" i="49"/>
  <c r="AW183" i="49"/>
  <c r="AX183" i="49"/>
  <c r="AY183" i="49"/>
  <c r="AZ183" i="49"/>
  <c r="BA183" i="49"/>
  <c r="AU184" i="49"/>
  <c r="AV184" i="49"/>
  <c r="AW184" i="49"/>
  <c r="AX184" i="49"/>
  <c r="AY184" i="49"/>
  <c r="AZ184" i="49"/>
  <c r="BA184" i="49"/>
  <c r="AU185" i="49"/>
  <c r="AV185" i="49"/>
  <c r="AW185" i="49"/>
  <c r="AX185" i="49"/>
  <c r="AY185" i="49"/>
  <c r="AZ185" i="49"/>
  <c r="BA185" i="49"/>
  <c r="AU186" i="49"/>
  <c r="AV186" i="49"/>
  <c r="AW186" i="49"/>
  <c r="AX186" i="49"/>
  <c r="AY186" i="49"/>
  <c r="AZ186" i="49"/>
  <c r="BA186" i="49"/>
  <c r="AU187" i="49"/>
  <c r="AV187" i="49"/>
  <c r="AW187" i="49"/>
  <c r="AX187" i="49"/>
  <c r="AY187" i="49"/>
  <c r="AZ187" i="49"/>
  <c r="BA187" i="49"/>
  <c r="AU188" i="49"/>
  <c r="AV188" i="49"/>
  <c r="AW188" i="49"/>
  <c r="AX188" i="49"/>
  <c r="AY188" i="49"/>
  <c r="AZ188" i="49"/>
  <c r="BA188" i="49"/>
  <c r="AU189" i="49"/>
  <c r="AV189" i="49"/>
  <c r="AW189" i="49"/>
  <c r="AX189" i="49"/>
  <c r="AY189" i="49"/>
  <c r="AZ189" i="49"/>
  <c r="BA189" i="49"/>
  <c r="AU190" i="49"/>
  <c r="AV190" i="49"/>
  <c r="AW190" i="49"/>
  <c r="AX190" i="49"/>
  <c r="AY190" i="49"/>
  <c r="AZ190" i="49"/>
  <c r="BA190" i="49"/>
  <c r="AU191" i="49"/>
  <c r="AV191" i="49"/>
  <c r="AW191" i="49"/>
  <c r="AX191" i="49"/>
  <c r="AY191" i="49"/>
  <c r="AZ191" i="49"/>
  <c r="BA191" i="49"/>
  <c r="AU192" i="49"/>
  <c r="AV192" i="49"/>
  <c r="AW192" i="49"/>
  <c r="AX192" i="49"/>
  <c r="AY192" i="49"/>
  <c r="AZ192" i="49"/>
  <c r="BA192" i="49"/>
  <c r="AU193" i="49"/>
  <c r="AV193" i="49"/>
  <c r="AW193" i="49"/>
  <c r="AX193" i="49"/>
  <c r="AY193" i="49"/>
  <c r="AZ193" i="49"/>
  <c r="BA193" i="49"/>
  <c r="AU194" i="49"/>
  <c r="AV194" i="49"/>
  <c r="AW194" i="49"/>
  <c r="AX194" i="49"/>
  <c r="AY194" i="49"/>
  <c r="AZ194" i="49"/>
  <c r="BA194" i="49"/>
  <c r="AU195" i="49"/>
  <c r="AV195" i="49"/>
  <c r="AW195" i="49"/>
  <c r="AX195" i="49"/>
  <c r="AY195" i="49"/>
  <c r="AZ195" i="49"/>
  <c r="BA195" i="49"/>
  <c r="AU196" i="49"/>
  <c r="AV196" i="49"/>
  <c r="AW196" i="49"/>
  <c r="AX196" i="49"/>
  <c r="AY196" i="49"/>
  <c r="AZ196" i="49"/>
  <c r="BA196" i="49"/>
  <c r="AU197" i="49"/>
  <c r="AV197" i="49"/>
  <c r="AW197" i="49"/>
  <c r="AX197" i="49"/>
  <c r="AY197" i="49"/>
  <c r="AZ197" i="49"/>
  <c r="BA197" i="49"/>
  <c r="AU198" i="49"/>
  <c r="AV198" i="49"/>
  <c r="AW198" i="49"/>
  <c r="AX198" i="49"/>
  <c r="AY198" i="49"/>
  <c r="AZ198" i="49"/>
  <c r="BA198" i="49"/>
  <c r="AU199" i="49"/>
  <c r="AV199" i="49"/>
  <c r="AW199" i="49"/>
  <c r="AX199" i="49"/>
  <c r="AY199" i="49"/>
  <c r="AZ199" i="49"/>
  <c r="BA199" i="49"/>
  <c r="AU200" i="49"/>
  <c r="AV200" i="49"/>
  <c r="AW200" i="49"/>
  <c r="AX200" i="49"/>
  <c r="AY200" i="49"/>
  <c r="AZ200" i="49"/>
  <c r="BA200" i="49"/>
  <c r="AU201" i="49"/>
  <c r="AV201" i="49"/>
  <c r="AW201" i="49"/>
  <c r="AX201" i="49"/>
  <c r="AY201" i="49"/>
  <c r="AZ201" i="49"/>
  <c r="BA201" i="49"/>
  <c r="AU202" i="49"/>
  <c r="AV202" i="49"/>
  <c r="AW202" i="49"/>
  <c r="AX202" i="49"/>
  <c r="AY202" i="49"/>
  <c r="AZ202" i="49"/>
  <c r="BA202" i="49"/>
  <c r="AU203" i="49"/>
  <c r="AV203" i="49"/>
  <c r="AW203" i="49"/>
  <c r="AX203" i="49"/>
  <c r="AY203" i="49"/>
  <c r="AZ203" i="49"/>
  <c r="BA203" i="49"/>
  <c r="AU204" i="49"/>
  <c r="AV204" i="49"/>
  <c r="AW204" i="49"/>
  <c r="AX204" i="49"/>
  <c r="AY204" i="49"/>
  <c r="AZ204" i="49"/>
  <c r="BA204" i="49"/>
  <c r="AU205" i="49"/>
  <c r="AV205" i="49"/>
  <c r="AW205" i="49"/>
  <c r="AX205" i="49"/>
  <c r="AZ205" i="49"/>
  <c r="BA205" i="49"/>
  <c r="AU206" i="49"/>
  <c r="AV206" i="49"/>
  <c r="AW206" i="49"/>
  <c r="AX206" i="49"/>
  <c r="AY206" i="49"/>
  <c r="AZ206" i="49"/>
  <c r="BA206" i="49"/>
  <c r="AU207" i="49"/>
  <c r="AV207" i="49"/>
  <c r="AW207" i="49"/>
  <c r="AX207" i="49"/>
  <c r="AY207" i="49"/>
  <c r="AZ207" i="49"/>
  <c r="BA207" i="49"/>
  <c r="AV70" i="49"/>
  <c r="AW70" i="49"/>
  <c r="AX70" i="49"/>
  <c r="AY70" i="49"/>
  <c r="AZ70" i="49"/>
  <c r="BA70" i="49"/>
  <c r="AU70" i="49"/>
  <c r="AU8" i="49"/>
  <c r="AV8" i="49"/>
  <c r="AW8" i="49"/>
  <c r="AX8" i="49"/>
  <c r="AY8" i="49"/>
  <c r="AZ8" i="49"/>
  <c r="BA8" i="49"/>
  <c r="AU9" i="49"/>
  <c r="AV9" i="49"/>
  <c r="AW9" i="49"/>
  <c r="AX9" i="49"/>
  <c r="AY9" i="49"/>
  <c r="AZ9" i="49"/>
  <c r="BA9" i="49"/>
  <c r="AU10" i="49"/>
  <c r="AV10" i="49"/>
  <c r="AW10" i="49"/>
  <c r="AX10" i="49"/>
  <c r="AY10" i="49"/>
  <c r="AZ10" i="49"/>
  <c r="BA10" i="49"/>
  <c r="AU11" i="49"/>
  <c r="AV11" i="49"/>
  <c r="AW11" i="49"/>
  <c r="AX11" i="49"/>
  <c r="AY11" i="49"/>
  <c r="AZ11" i="49"/>
  <c r="BA11" i="49"/>
  <c r="AU12" i="49"/>
  <c r="AV12" i="49"/>
  <c r="AW12" i="49"/>
  <c r="AX12" i="49"/>
  <c r="AY12" i="49"/>
  <c r="AZ12" i="49"/>
  <c r="BA12" i="49"/>
  <c r="AU13" i="49"/>
  <c r="AV13" i="49"/>
  <c r="AW13" i="49"/>
  <c r="AX13" i="49"/>
  <c r="AY13" i="49"/>
  <c r="AZ13" i="49"/>
  <c r="BA13" i="49"/>
  <c r="AU14" i="49"/>
  <c r="AV14" i="49"/>
  <c r="AW14" i="49"/>
  <c r="AX14" i="49"/>
  <c r="AY14" i="49"/>
  <c r="AZ14" i="49"/>
  <c r="BA14" i="49"/>
  <c r="AU15" i="49"/>
  <c r="AV15" i="49"/>
  <c r="AW15" i="49"/>
  <c r="AX15" i="49"/>
  <c r="AY15" i="49"/>
  <c r="AZ15" i="49"/>
  <c r="BA15" i="49"/>
  <c r="AU16" i="49"/>
  <c r="AV16" i="49"/>
  <c r="AW16" i="49"/>
  <c r="AX16" i="49"/>
  <c r="AY16" i="49"/>
  <c r="AZ16" i="49"/>
  <c r="BA16" i="49"/>
  <c r="AU17" i="49"/>
  <c r="AV17" i="49"/>
  <c r="AW17" i="49"/>
  <c r="AX17" i="49"/>
  <c r="AY17" i="49"/>
  <c r="AZ17" i="49"/>
  <c r="BA17" i="49"/>
  <c r="AU18" i="49"/>
  <c r="AV18" i="49"/>
  <c r="AW18" i="49"/>
  <c r="AX18" i="49"/>
  <c r="AY18" i="49"/>
  <c r="AZ18" i="49"/>
  <c r="BA18" i="49"/>
  <c r="AU19" i="49"/>
  <c r="AV19" i="49"/>
  <c r="AW19" i="49"/>
  <c r="AX19" i="49"/>
  <c r="AY19" i="49"/>
  <c r="AZ19" i="49"/>
  <c r="BA19" i="49"/>
  <c r="AU20" i="49"/>
  <c r="AV20" i="49"/>
  <c r="AW20" i="49"/>
  <c r="AX20" i="49"/>
  <c r="AY20" i="49"/>
  <c r="AZ20" i="49"/>
  <c r="BA20" i="49"/>
  <c r="AU21" i="49"/>
  <c r="AV21" i="49"/>
  <c r="AW21" i="49"/>
  <c r="AX21" i="49"/>
  <c r="AY21" i="49"/>
  <c r="AZ21" i="49"/>
  <c r="BA21" i="49"/>
  <c r="AU22" i="49"/>
  <c r="AV22" i="49"/>
  <c r="AW22" i="49"/>
  <c r="AX22" i="49"/>
  <c r="AY22" i="49"/>
  <c r="AZ22" i="49"/>
  <c r="BA22" i="49"/>
  <c r="AU23" i="49"/>
  <c r="AV23" i="49"/>
  <c r="AW23" i="49"/>
  <c r="AX23" i="49"/>
  <c r="AY23" i="49"/>
  <c r="AZ23" i="49"/>
  <c r="BA23" i="49"/>
  <c r="AU24" i="49"/>
  <c r="AV24" i="49"/>
  <c r="AW24" i="49"/>
  <c r="AX24" i="49"/>
  <c r="AY24" i="49"/>
  <c r="AZ24" i="49"/>
  <c r="BA24" i="49"/>
  <c r="AU25" i="49"/>
  <c r="AV25" i="49"/>
  <c r="AW25" i="49"/>
  <c r="AX25" i="49"/>
  <c r="AY25" i="49"/>
  <c r="AZ25" i="49"/>
  <c r="BA25" i="49"/>
  <c r="AU26" i="49"/>
  <c r="AV26" i="49"/>
  <c r="AW26" i="49"/>
  <c r="AX26" i="49"/>
  <c r="AY26" i="49"/>
  <c r="AZ26" i="49"/>
  <c r="BA26" i="49"/>
  <c r="AU27" i="49"/>
  <c r="AV27" i="49"/>
  <c r="AW27" i="49"/>
  <c r="AX27" i="49"/>
  <c r="AY27" i="49"/>
  <c r="AZ27" i="49"/>
  <c r="BA27" i="49"/>
  <c r="AU28" i="49"/>
  <c r="AV28" i="49"/>
  <c r="AW28" i="49"/>
  <c r="AX28" i="49"/>
  <c r="AY28" i="49"/>
  <c r="AZ28" i="49"/>
  <c r="BA28" i="49"/>
  <c r="AU29" i="49"/>
  <c r="AV29" i="49"/>
  <c r="AW29" i="49"/>
  <c r="AX29" i="49"/>
  <c r="AY29" i="49"/>
  <c r="AZ29" i="49"/>
  <c r="BA29" i="49"/>
  <c r="AU30" i="49"/>
  <c r="AV30" i="49"/>
  <c r="AW30" i="49"/>
  <c r="AX30" i="49"/>
  <c r="AY30" i="49"/>
  <c r="AZ30" i="49"/>
  <c r="BA30" i="49"/>
  <c r="AU31" i="49"/>
  <c r="AV31" i="49"/>
  <c r="AW31" i="49"/>
  <c r="AX31" i="49"/>
  <c r="AY31" i="49"/>
  <c r="AZ31" i="49"/>
  <c r="BA31" i="49"/>
  <c r="AU32" i="49"/>
  <c r="AV32" i="49"/>
  <c r="AW32" i="49"/>
  <c r="AX32" i="49"/>
  <c r="AY32" i="49"/>
  <c r="AZ32" i="49"/>
  <c r="BA32" i="49"/>
  <c r="AU33" i="49"/>
  <c r="AV33" i="49"/>
  <c r="AW33" i="49"/>
  <c r="AX33" i="49"/>
  <c r="AY33" i="49"/>
  <c r="AZ33" i="49"/>
  <c r="BA33" i="49"/>
  <c r="AU34" i="49"/>
  <c r="AV34" i="49"/>
  <c r="AW34" i="49"/>
  <c r="AX34" i="49"/>
  <c r="AY34" i="49"/>
  <c r="AZ34" i="49"/>
  <c r="BA34" i="49"/>
  <c r="AU35" i="49"/>
  <c r="AV35" i="49"/>
  <c r="AW35" i="49"/>
  <c r="AX35" i="49"/>
  <c r="AY35" i="49"/>
  <c r="AZ35" i="49"/>
  <c r="BA35" i="49"/>
  <c r="AU36" i="49"/>
  <c r="AV36" i="49"/>
  <c r="AW36" i="49"/>
  <c r="AX36" i="49"/>
  <c r="AY36" i="49"/>
  <c r="AZ36" i="49"/>
  <c r="BA36" i="49"/>
  <c r="AU37" i="49"/>
  <c r="AV37" i="49"/>
  <c r="AW37" i="49"/>
  <c r="AX37" i="49"/>
  <c r="AY37" i="49"/>
  <c r="AZ37" i="49"/>
  <c r="BA37" i="49"/>
  <c r="AU38" i="49"/>
  <c r="AV38" i="49"/>
  <c r="AW38" i="49"/>
  <c r="AX38" i="49"/>
  <c r="AY38" i="49"/>
  <c r="AZ38" i="49"/>
  <c r="BA38" i="49"/>
  <c r="AU39" i="49"/>
  <c r="AV39" i="49"/>
  <c r="AW39" i="49"/>
  <c r="AX39" i="49"/>
  <c r="AY39" i="49"/>
  <c r="AZ39" i="49"/>
  <c r="BA39" i="49"/>
  <c r="AU40" i="49"/>
  <c r="AV40" i="49"/>
  <c r="AW40" i="49"/>
  <c r="AX40" i="49"/>
  <c r="AY40" i="49"/>
  <c r="AZ40" i="49"/>
  <c r="BA40" i="49"/>
  <c r="AU41" i="49"/>
  <c r="AV41" i="49"/>
  <c r="AW41" i="49"/>
  <c r="AX41" i="49"/>
  <c r="AY41" i="49"/>
  <c r="AZ41" i="49"/>
  <c r="BA41" i="49"/>
  <c r="AU42" i="49"/>
  <c r="AV42" i="49"/>
  <c r="AW42" i="49"/>
  <c r="AX42" i="49"/>
  <c r="AY42" i="49"/>
  <c r="AZ42" i="49"/>
  <c r="BA42" i="49"/>
  <c r="AU43" i="49"/>
  <c r="AV43" i="49"/>
  <c r="AW43" i="49"/>
  <c r="AX43" i="49"/>
  <c r="AY43" i="49"/>
  <c r="AZ43" i="49"/>
  <c r="BA43" i="49"/>
  <c r="AU44" i="49"/>
  <c r="AV44" i="49"/>
  <c r="AW44" i="49"/>
  <c r="AX44" i="49"/>
  <c r="AY44" i="49"/>
  <c r="AZ44" i="49"/>
  <c r="BA44" i="49"/>
  <c r="AU45" i="49"/>
  <c r="AV45" i="49"/>
  <c r="AW45" i="49"/>
  <c r="AX45" i="49"/>
  <c r="AY45" i="49"/>
  <c r="AZ45" i="49"/>
  <c r="BA45" i="49"/>
  <c r="AU46" i="49"/>
  <c r="AV46" i="49"/>
  <c r="AW46" i="49"/>
  <c r="AX46" i="49"/>
  <c r="AY46" i="49"/>
  <c r="AZ46" i="49"/>
  <c r="BA46" i="49"/>
  <c r="AU47" i="49"/>
  <c r="AV47" i="49"/>
  <c r="AW47" i="49"/>
  <c r="AX47" i="49"/>
  <c r="AY47" i="49"/>
  <c r="AZ47" i="49"/>
  <c r="BA47" i="49"/>
  <c r="AU48" i="49"/>
  <c r="AV48" i="49"/>
  <c r="AW48" i="49"/>
  <c r="AX48" i="49"/>
  <c r="AY48" i="49"/>
  <c r="AZ48" i="49"/>
  <c r="BA48" i="49"/>
  <c r="AU49" i="49"/>
  <c r="AV49" i="49"/>
  <c r="AW49" i="49"/>
  <c r="AX49" i="49"/>
  <c r="AY49" i="49"/>
  <c r="AZ49" i="49"/>
  <c r="BA49" i="49"/>
  <c r="AU50" i="49"/>
  <c r="AV50" i="49"/>
  <c r="AW50" i="49"/>
  <c r="AX50" i="49"/>
  <c r="AY50" i="49"/>
  <c r="AZ50" i="49"/>
  <c r="BA50" i="49"/>
  <c r="AU51" i="49"/>
  <c r="AV51" i="49"/>
  <c r="AW51" i="49"/>
  <c r="AX51" i="49"/>
  <c r="AY51" i="49"/>
  <c r="AZ51" i="49"/>
  <c r="BA51" i="49"/>
  <c r="AU52" i="49"/>
  <c r="AV52" i="49"/>
  <c r="AW52" i="49"/>
  <c r="AX52" i="49"/>
  <c r="AY52" i="49"/>
  <c r="AZ52" i="49"/>
  <c r="BA52" i="49"/>
  <c r="AU53" i="49"/>
  <c r="AV53" i="49"/>
  <c r="AW53" i="49"/>
  <c r="AX53" i="49"/>
  <c r="AY53" i="49"/>
  <c r="AZ53" i="49"/>
  <c r="BA53" i="49"/>
  <c r="AU54" i="49"/>
  <c r="AV54" i="49"/>
  <c r="AW54" i="49"/>
  <c r="AX54" i="49"/>
  <c r="AY54" i="49"/>
  <c r="AZ54" i="49"/>
  <c r="BA54" i="49"/>
  <c r="AU55" i="49"/>
  <c r="AV55" i="49"/>
  <c r="AW55" i="49"/>
  <c r="AX55" i="49"/>
  <c r="AY55" i="49"/>
  <c r="AZ55" i="49"/>
  <c r="BA55" i="49"/>
  <c r="AU56" i="49"/>
  <c r="AV56" i="49"/>
  <c r="AW56" i="49"/>
  <c r="AX56" i="49"/>
  <c r="AY56" i="49"/>
  <c r="AZ56" i="49"/>
  <c r="BA56" i="49"/>
  <c r="AU57" i="49"/>
  <c r="AV57" i="49"/>
  <c r="AW57" i="49"/>
  <c r="AX57" i="49"/>
  <c r="AY57" i="49"/>
  <c r="AZ57" i="49"/>
  <c r="BA57" i="49"/>
  <c r="AU58" i="49"/>
  <c r="AV58" i="49"/>
  <c r="AW58" i="49"/>
  <c r="AX58" i="49"/>
  <c r="AY58" i="49"/>
  <c r="AZ58" i="49"/>
  <c r="BA58" i="49"/>
  <c r="AU59" i="49"/>
  <c r="AV59" i="49"/>
  <c r="AW59" i="49"/>
  <c r="AX59" i="49"/>
  <c r="AY59" i="49"/>
  <c r="AZ59" i="49"/>
  <c r="BA59" i="49"/>
  <c r="AU60" i="49"/>
  <c r="AV60" i="49"/>
  <c r="AW60" i="49"/>
  <c r="AX60" i="49"/>
  <c r="AY60" i="49"/>
  <c r="AZ60" i="49"/>
  <c r="BA60" i="49"/>
  <c r="AU61" i="49"/>
  <c r="AV61" i="49"/>
  <c r="AW61" i="49"/>
  <c r="AX61" i="49"/>
  <c r="AY61" i="49"/>
  <c r="AZ61" i="49"/>
  <c r="BA61" i="49"/>
  <c r="AU62" i="49"/>
  <c r="AV62" i="49"/>
  <c r="AW62" i="49"/>
  <c r="AX62" i="49"/>
  <c r="AY62" i="49"/>
  <c r="AZ62" i="49"/>
  <c r="BA62" i="49"/>
  <c r="AU63" i="49"/>
  <c r="AV63" i="49"/>
  <c r="AW63" i="49"/>
  <c r="AX63" i="49"/>
  <c r="AY63" i="49"/>
  <c r="AZ63" i="49"/>
  <c r="BA63" i="49"/>
  <c r="AU64" i="49"/>
  <c r="AV64" i="49"/>
  <c r="AW64" i="49"/>
  <c r="AX64" i="49"/>
  <c r="AY64" i="49"/>
  <c r="AZ64" i="49"/>
  <c r="BA64" i="49"/>
  <c r="AU65" i="49"/>
  <c r="AV65" i="49"/>
  <c r="AW65" i="49"/>
  <c r="AX65" i="49"/>
  <c r="AY65" i="49"/>
  <c r="AZ65" i="49"/>
  <c r="BA65" i="49"/>
  <c r="AU66" i="49"/>
  <c r="AV66" i="49"/>
  <c r="AW66" i="49"/>
  <c r="AX66" i="49"/>
  <c r="AY66" i="49"/>
  <c r="AZ66" i="49"/>
  <c r="BA66" i="49"/>
  <c r="AU67" i="49"/>
  <c r="AV67" i="49"/>
  <c r="AW67" i="49"/>
  <c r="AX67" i="49"/>
  <c r="AY67" i="49"/>
  <c r="AZ67" i="49"/>
  <c r="BA67" i="49"/>
  <c r="AU68" i="49"/>
  <c r="AV68" i="49"/>
  <c r="AW68" i="49"/>
  <c r="AX68" i="49"/>
  <c r="AY68" i="49"/>
  <c r="AZ68" i="49"/>
  <c r="BA68" i="49"/>
  <c r="AU69" i="49"/>
  <c r="AV69" i="49"/>
  <c r="AW69" i="49"/>
  <c r="AX69" i="49"/>
  <c r="AY69" i="49"/>
  <c r="AZ69" i="49"/>
  <c r="BA69" i="49"/>
  <c r="AV7" i="49"/>
  <c r="AW7" i="49"/>
  <c r="AX7" i="49"/>
  <c r="AY7" i="49"/>
  <c r="AZ7" i="49"/>
  <c r="BA7" i="49"/>
  <c r="AS71" i="49"/>
  <c r="AS72" i="49"/>
  <c r="AS73" i="49"/>
  <c r="AS74" i="49"/>
  <c r="AS75" i="49"/>
  <c r="AS76" i="49"/>
  <c r="AS77" i="49"/>
  <c r="AS78" i="49"/>
  <c r="AS79" i="49"/>
  <c r="AS80" i="49"/>
  <c r="AS81" i="49"/>
  <c r="AS82" i="49"/>
  <c r="AS83" i="49"/>
  <c r="AS84" i="49"/>
  <c r="AS85" i="49"/>
  <c r="AS86" i="49"/>
  <c r="AS87" i="49"/>
  <c r="AS88" i="49"/>
  <c r="AS89" i="49"/>
  <c r="AS90" i="49"/>
  <c r="AS91" i="49"/>
  <c r="AS92" i="49"/>
  <c r="AS93" i="49"/>
  <c r="AS94" i="49"/>
  <c r="AS95" i="49"/>
  <c r="AS96" i="49"/>
  <c r="AS97" i="49"/>
  <c r="AS98" i="49"/>
  <c r="AS99" i="49"/>
  <c r="AS100" i="49"/>
  <c r="AS101" i="49"/>
  <c r="AS102" i="49"/>
  <c r="AS103" i="49"/>
  <c r="AS104" i="49"/>
  <c r="AS105" i="49"/>
  <c r="AS106" i="49"/>
  <c r="AS107" i="49"/>
  <c r="AS108" i="49"/>
  <c r="AS109" i="49"/>
  <c r="AS110" i="49"/>
  <c r="AS111" i="49"/>
  <c r="AS112" i="49"/>
  <c r="AS113" i="49"/>
  <c r="AS114" i="49"/>
  <c r="AS115" i="49"/>
  <c r="AS116" i="49"/>
  <c r="AS117" i="49"/>
  <c r="AS118" i="49"/>
  <c r="AS119" i="49"/>
  <c r="AS120" i="49"/>
  <c r="AS121" i="49"/>
  <c r="AS122" i="49"/>
  <c r="AS123" i="49"/>
  <c r="AS124" i="49"/>
  <c r="AS125" i="49"/>
  <c r="AS126" i="49"/>
  <c r="AS127" i="49"/>
  <c r="AS128" i="49"/>
  <c r="AS129" i="49"/>
  <c r="AS130" i="49"/>
  <c r="AS131" i="49"/>
  <c r="AS132" i="49"/>
  <c r="AS133" i="49"/>
  <c r="AS134" i="49"/>
  <c r="AS135" i="49"/>
  <c r="AS136" i="49"/>
  <c r="AS137" i="49"/>
  <c r="AS138" i="49"/>
  <c r="AS139" i="49"/>
  <c r="AS140" i="49"/>
  <c r="AS141" i="49"/>
  <c r="AS142" i="49"/>
  <c r="AS143" i="49"/>
  <c r="AS144" i="49"/>
  <c r="AS145" i="49"/>
  <c r="AS146" i="49"/>
  <c r="AS147" i="49"/>
  <c r="AS148" i="49"/>
  <c r="AS149" i="49"/>
  <c r="AS150" i="49"/>
  <c r="AS151" i="49"/>
  <c r="AS152" i="49"/>
  <c r="AS154" i="49"/>
  <c r="AS155" i="49"/>
  <c r="AS156" i="49"/>
  <c r="AS157" i="49"/>
  <c r="AS158" i="49"/>
  <c r="AS159" i="49"/>
  <c r="AS160" i="49"/>
  <c r="AS161" i="49"/>
  <c r="AS162" i="49"/>
  <c r="AS163" i="49"/>
  <c r="AS164" i="49"/>
  <c r="AS165" i="49"/>
  <c r="AS166" i="49"/>
  <c r="AS167" i="49"/>
  <c r="AS168" i="49"/>
  <c r="AS169" i="49"/>
  <c r="AS170" i="49"/>
  <c r="AS171" i="49"/>
  <c r="AS172" i="49"/>
  <c r="AS173" i="49"/>
  <c r="AS174" i="49"/>
  <c r="AS175" i="49"/>
  <c r="AS176" i="49"/>
  <c r="AS177" i="49"/>
  <c r="AS178" i="49"/>
  <c r="AS179" i="49"/>
  <c r="AS180" i="49"/>
  <c r="AS181" i="49"/>
  <c r="AS182" i="49"/>
  <c r="AS183" i="49"/>
  <c r="AS184" i="49"/>
  <c r="AS185" i="49"/>
  <c r="AS186" i="49"/>
  <c r="AS187" i="49"/>
  <c r="AS188" i="49"/>
  <c r="AS189" i="49"/>
  <c r="AS190" i="49"/>
  <c r="AS191" i="49"/>
  <c r="AS192" i="49"/>
  <c r="AS193" i="49"/>
  <c r="AS194" i="49"/>
  <c r="AS195" i="49"/>
  <c r="AS196" i="49"/>
  <c r="AS197" i="49"/>
  <c r="AS198" i="49"/>
  <c r="AS199" i="49"/>
  <c r="AS200" i="49"/>
  <c r="AS201" i="49"/>
  <c r="AS202" i="49"/>
  <c r="AS203" i="49"/>
  <c r="AS204" i="49"/>
  <c r="AS205" i="49"/>
  <c r="AS206" i="49"/>
  <c r="AS207" i="49"/>
  <c r="AS70" i="49"/>
  <c r="AS8" i="49"/>
  <c r="AS9" i="49"/>
  <c r="AS10" i="49"/>
  <c r="AS11" i="49"/>
  <c r="AS12" i="49"/>
  <c r="AS13" i="49"/>
  <c r="AS14" i="49"/>
  <c r="AS15" i="49"/>
  <c r="AS16" i="49"/>
  <c r="AS17" i="49"/>
  <c r="AS18" i="49"/>
  <c r="AS19" i="49"/>
  <c r="AS20" i="49"/>
  <c r="AS21" i="49"/>
  <c r="AS22" i="49"/>
  <c r="AS23" i="49"/>
  <c r="AS24" i="49"/>
  <c r="AS25" i="49"/>
  <c r="AS26" i="49"/>
  <c r="AS27" i="49"/>
  <c r="AS28" i="49"/>
  <c r="AS29" i="49"/>
  <c r="AS30" i="49"/>
  <c r="AS31" i="49"/>
  <c r="AS32" i="49"/>
  <c r="AS33" i="49"/>
  <c r="AS34" i="49"/>
  <c r="AS35" i="49"/>
  <c r="AS36" i="49"/>
  <c r="AS37" i="49"/>
  <c r="AS38" i="49"/>
  <c r="AS39" i="49"/>
  <c r="AS40" i="49"/>
  <c r="AS41" i="49"/>
  <c r="AS42" i="49"/>
  <c r="AS43" i="49"/>
  <c r="AS44" i="49"/>
  <c r="AS45" i="49"/>
  <c r="AS46" i="49"/>
  <c r="AS47" i="49"/>
  <c r="AS48" i="49"/>
  <c r="AS49" i="49"/>
  <c r="AS50" i="49"/>
  <c r="AS51" i="49"/>
  <c r="AS52" i="49"/>
  <c r="AS53" i="49"/>
  <c r="AS54" i="49"/>
  <c r="AS55" i="49"/>
  <c r="AS56" i="49"/>
  <c r="AS57" i="49"/>
  <c r="AS58" i="49"/>
  <c r="AS59" i="49"/>
  <c r="AS60" i="49"/>
  <c r="AS61" i="49"/>
  <c r="AS62" i="49"/>
  <c r="AS63" i="49"/>
  <c r="AS64" i="49"/>
  <c r="AS65" i="49"/>
  <c r="AS66" i="49"/>
  <c r="AS67" i="49"/>
  <c r="AS68" i="49"/>
  <c r="AS69" i="49"/>
  <c r="AS7" i="49"/>
  <c r="AU7" i="49"/>
  <c r="AS263" i="49" l="1"/>
  <c r="BB7" i="49"/>
  <c r="U72" i="66" l="1"/>
  <c r="V72" i="66"/>
  <c r="W72" i="66"/>
  <c r="X72" i="66"/>
  <c r="Y72" i="66"/>
  <c r="Z72" i="66"/>
  <c r="AA72" i="66"/>
  <c r="G27" i="11" l="1"/>
  <c r="J48" i="11"/>
  <c r="E48" i="11"/>
  <c r="I48" i="11" s="1"/>
  <c r="N48" i="11"/>
  <c r="J47" i="11"/>
  <c r="E47" i="11"/>
  <c r="I47" i="11" s="1"/>
  <c r="N47" i="11"/>
  <c r="J46" i="11"/>
  <c r="E46" i="11"/>
  <c r="I46" i="11" s="1"/>
  <c r="N46" i="11"/>
  <c r="J45" i="11"/>
  <c r="E45" i="11"/>
  <c r="I45" i="11" s="1"/>
  <c r="N45" i="11"/>
  <c r="J44" i="11"/>
  <c r="E44" i="11"/>
  <c r="I44" i="11" s="1"/>
  <c r="N44" i="11"/>
  <c r="J43" i="11"/>
  <c r="E43" i="11"/>
  <c r="I43" i="11" s="1"/>
  <c r="N43" i="11"/>
  <c r="F86" i="11"/>
  <c r="Q86" i="11" s="1"/>
  <c r="F83" i="11"/>
  <c r="Q57" i="11"/>
  <c r="E38" i="11"/>
  <c r="J27" i="11" l="1"/>
  <c r="E27" i="11"/>
  <c r="D27" i="11"/>
  <c r="N27" i="11"/>
  <c r="N42" i="11"/>
  <c r="R14" i="11"/>
  <c r="E42" i="11"/>
  <c r="I42" i="11" s="1"/>
  <c r="J42" i="11"/>
  <c r="R15" i="11"/>
  <c r="G37" i="11"/>
  <c r="S86" i="11"/>
  <c r="E40" i="11"/>
  <c r="F40" i="11"/>
  <c r="G40" i="11"/>
  <c r="R18" i="11"/>
  <c r="J39" i="11"/>
  <c r="P39" i="11"/>
  <c r="F39" i="11"/>
  <c r="M39" i="11"/>
  <c r="I39" i="11"/>
  <c r="H39" i="11"/>
  <c r="L39" i="11"/>
  <c r="K39" i="11"/>
  <c r="G39" i="11"/>
  <c r="E39" i="11"/>
  <c r="N39" i="11"/>
  <c r="O39" i="11"/>
  <c r="R17" i="11"/>
  <c r="G38" i="11"/>
  <c r="H38" i="11"/>
  <c r="I38" i="11"/>
  <c r="J38" i="11"/>
  <c r="F38" i="11"/>
  <c r="R16" i="11"/>
  <c r="R24" i="11"/>
  <c r="R22" i="11"/>
  <c r="R25" i="11"/>
  <c r="R23" i="11"/>
  <c r="R21" i="11"/>
  <c r="R20" i="11"/>
  <c r="R26" i="11"/>
  <c r="H37" i="11"/>
  <c r="I37" i="11"/>
  <c r="J37" i="11"/>
  <c r="F37" i="11"/>
  <c r="H36" i="11"/>
  <c r="G36" i="11"/>
  <c r="I36" i="11"/>
  <c r="E36" i="11"/>
  <c r="J36" i="11"/>
  <c r="F36" i="11"/>
  <c r="S68" i="11"/>
  <c r="Q68" i="11"/>
  <c r="P89" i="11"/>
  <c r="R27" i="11" l="1"/>
  <c r="Q42" i="11"/>
  <c r="S42" i="11"/>
  <c r="S87" i="11" l="1"/>
  <c r="S69" i="11"/>
  <c r="O89" i="11" l="1"/>
  <c r="E89" i="11"/>
  <c r="F59" i="11"/>
  <c r="G59" i="11"/>
  <c r="Q81" i="11" l="1"/>
  <c r="S81" i="11"/>
  <c r="N89" i="11"/>
  <c r="AW208" i="49"/>
  <c r="AW209" i="49" l="1"/>
  <c r="AW210" i="49" s="1"/>
  <c r="Q77" i="11"/>
  <c r="S77" i="11"/>
  <c r="S67" i="11"/>
  <c r="Q67" i="11"/>
  <c r="Q82" i="11"/>
  <c r="S82" i="11"/>
  <c r="Q70" i="11"/>
  <c r="S70" i="11"/>
  <c r="Q71" i="11"/>
  <c r="S71" i="11"/>
  <c r="M89" i="11"/>
  <c r="AW211" i="49" l="1"/>
  <c r="AW212" i="49" s="1"/>
  <c r="AW213" i="49" l="1"/>
  <c r="AW214" i="49" l="1"/>
  <c r="AW215" i="49" s="1"/>
  <c r="AW216" i="49" s="1"/>
  <c r="AW217" i="49" s="1"/>
  <c r="AW218" i="49" s="1"/>
  <c r="AW219" i="49" s="1"/>
  <c r="AW220" i="49" s="1"/>
  <c r="AW221" i="49" s="1"/>
  <c r="AW222" i="49" s="1"/>
  <c r="AW223" i="49" s="1"/>
  <c r="AW224" i="49" s="1"/>
  <c r="AW225" i="49" s="1"/>
  <c r="AW226" i="49" s="1"/>
  <c r="AW227" i="49" s="1"/>
  <c r="AW228" i="49" s="1"/>
  <c r="AW229" i="49" s="1"/>
  <c r="AW230" i="49" s="1"/>
  <c r="AW231" i="49" s="1"/>
  <c r="AW232" i="49" s="1"/>
  <c r="AW233" i="49" s="1"/>
  <c r="AW234" i="49" s="1"/>
  <c r="AW235" i="49" s="1"/>
  <c r="AW236" i="49" s="1"/>
  <c r="AW237" i="49" s="1"/>
  <c r="AW238" i="49" s="1"/>
  <c r="AW239" i="49" s="1"/>
  <c r="AW240" i="49" s="1"/>
  <c r="AW241" i="49" s="1"/>
  <c r="AW242" i="49" s="1"/>
  <c r="AW243" i="49" s="1"/>
  <c r="AW244" i="49" s="1"/>
  <c r="AW245" i="49" s="1"/>
  <c r="AW246" i="49" s="1"/>
  <c r="AW247" i="49" s="1"/>
  <c r="AW248" i="49" s="1"/>
  <c r="AW249" i="49" s="1"/>
  <c r="AW250" i="49" s="1"/>
  <c r="AW251" i="49" s="1"/>
  <c r="AW252" i="49" s="1"/>
  <c r="AW253" i="49" s="1"/>
  <c r="AW254" i="49" s="1"/>
  <c r="AW255" i="49" s="1"/>
  <c r="DL136" i="61" l="1"/>
  <c r="DL80" i="61"/>
  <c r="DL130" i="61"/>
  <c r="DL142" i="61" l="1"/>
  <c r="DL85" i="61"/>
  <c r="DL144" i="61"/>
  <c r="DL197" i="61"/>
  <c r="DL133" i="61"/>
  <c r="DL62" i="61"/>
  <c r="DL15" i="61"/>
  <c r="DL87" i="61"/>
  <c r="DL46" i="61"/>
  <c r="DL103" i="61"/>
  <c r="DL206" i="61"/>
  <c r="DL134" i="61"/>
  <c r="DL182" i="61"/>
  <c r="DL94" i="61"/>
  <c r="DL112" i="61"/>
  <c r="DL166" i="61"/>
  <c r="DL44" i="61"/>
  <c r="DL173" i="61"/>
  <c r="DL12" i="61"/>
  <c r="DL204" i="61"/>
  <c r="DL148" i="61"/>
  <c r="DL28" i="61"/>
  <c r="DL109" i="61"/>
  <c r="DL184" i="61"/>
  <c r="DL162" i="61"/>
  <c r="DL16" i="61"/>
  <c r="DL200" i="61"/>
  <c r="DL40" i="61"/>
  <c r="DL29" i="61"/>
  <c r="DL152" i="61"/>
  <c r="DL150" i="61"/>
  <c r="DK208" i="61"/>
  <c r="DL34" i="61"/>
  <c r="DL98" i="61"/>
  <c r="DL55" i="61"/>
  <c r="DL194" i="61"/>
  <c r="DL158" i="61"/>
  <c r="DL45" i="61"/>
  <c r="DL93" i="61"/>
  <c r="DL8" i="61"/>
  <c r="DL137" i="61"/>
  <c r="DL138" i="61"/>
  <c r="DL131" i="61"/>
  <c r="DL170" i="61"/>
  <c r="DL101" i="61"/>
  <c r="DL17" i="61"/>
  <c r="DL65" i="61"/>
  <c r="DL97" i="61"/>
  <c r="DL145" i="61"/>
  <c r="DL179" i="61"/>
  <c r="DL180" i="61"/>
  <c r="DL25" i="61"/>
  <c r="DL60" i="61"/>
  <c r="DL92" i="61"/>
  <c r="DL124" i="61"/>
  <c r="DL156" i="61"/>
  <c r="DL191" i="61"/>
  <c r="DL22" i="61"/>
  <c r="DL126" i="61"/>
  <c r="DL76" i="61"/>
  <c r="DL27" i="61"/>
  <c r="DL155" i="61"/>
  <c r="DL202" i="61"/>
  <c r="DL57" i="61"/>
  <c r="DL63" i="61"/>
  <c r="DL159" i="61"/>
  <c r="DL163" i="61"/>
  <c r="DL33" i="61"/>
  <c r="DL105" i="61"/>
  <c r="DL56" i="61"/>
  <c r="DL96" i="61"/>
  <c r="DL31" i="61"/>
  <c r="DL66" i="61"/>
  <c r="DL128" i="61"/>
  <c r="DL167" i="61"/>
  <c r="DL84" i="61"/>
  <c r="DL38" i="61"/>
  <c r="DL59" i="61"/>
  <c r="DL187" i="61"/>
  <c r="DL114" i="61"/>
  <c r="DL90" i="61"/>
  <c r="DL82" i="61"/>
  <c r="DL19" i="61"/>
  <c r="DL186" i="61"/>
  <c r="DL192" i="61"/>
  <c r="DL95" i="61"/>
  <c r="DL106" i="61"/>
  <c r="DL70" i="61"/>
  <c r="DL147" i="61"/>
  <c r="DL193" i="61"/>
  <c r="DL48" i="61"/>
  <c r="DL181" i="61"/>
  <c r="DL13" i="61"/>
  <c r="DL165" i="61"/>
  <c r="DL36" i="61"/>
  <c r="DL73" i="61"/>
  <c r="DL113" i="61"/>
  <c r="DL161" i="61"/>
  <c r="DL196" i="61"/>
  <c r="DL21" i="61"/>
  <c r="DL64" i="61"/>
  <c r="DL104" i="61"/>
  <c r="DL160" i="61"/>
  <c r="DL39" i="61"/>
  <c r="DL71" i="61"/>
  <c r="DL107" i="61"/>
  <c r="DL135" i="61"/>
  <c r="DL171" i="61"/>
  <c r="DL108" i="61"/>
  <c r="DL54" i="61"/>
  <c r="DL190" i="61"/>
  <c r="DL37" i="61"/>
  <c r="DL125" i="61"/>
  <c r="DL205" i="61"/>
  <c r="DL67" i="61"/>
  <c r="DL195" i="61"/>
  <c r="DL10" i="61"/>
  <c r="DL122" i="61"/>
  <c r="DL51" i="61"/>
  <c r="DL42" i="61"/>
  <c r="DL23" i="61"/>
  <c r="DL153" i="61"/>
  <c r="DL68" i="61"/>
  <c r="DL35" i="61"/>
  <c r="DL81" i="61"/>
  <c r="DL164" i="61"/>
  <c r="DL201" i="61"/>
  <c r="DL24" i="61"/>
  <c r="DL72" i="61"/>
  <c r="DL168" i="61"/>
  <c r="DL43" i="61"/>
  <c r="DL75" i="61"/>
  <c r="DL111" i="61"/>
  <c r="DL139" i="61"/>
  <c r="DL175" i="61"/>
  <c r="DL172" i="61"/>
  <c r="DL198" i="61"/>
  <c r="DL91" i="61"/>
  <c r="DL18" i="61"/>
  <c r="DL89" i="61"/>
  <c r="DL188" i="61"/>
  <c r="DL14" i="61"/>
  <c r="DL58" i="61"/>
  <c r="DL100" i="61"/>
  <c r="DL53" i="61"/>
  <c r="DL20" i="61"/>
  <c r="DL127" i="61"/>
  <c r="DL199" i="61"/>
  <c r="DL30" i="61"/>
  <c r="DL78" i="61"/>
  <c r="DL41" i="61"/>
  <c r="DL115" i="61"/>
  <c r="DL189" i="61"/>
  <c r="DL49" i="61"/>
  <c r="DL83" i="61"/>
  <c r="DL129" i="61"/>
  <c r="DL169" i="61"/>
  <c r="DL32" i="61"/>
  <c r="DL74" i="61"/>
  <c r="DL117" i="61"/>
  <c r="DL176" i="61"/>
  <c r="DL11" i="61"/>
  <c r="DL47" i="61"/>
  <c r="DL79" i="61"/>
  <c r="DL119" i="61"/>
  <c r="DL143" i="61"/>
  <c r="DL183" i="61"/>
  <c r="DL102" i="61"/>
  <c r="DL61" i="61"/>
  <c r="DL141" i="61"/>
  <c r="DL52" i="61"/>
  <c r="DL99" i="61"/>
  <c r="DL26" i="61"/>
  <c r="DL154" i="61"/>
  <c r="DL9" i="61"/>
  <c r="DL177" i="61"/>
  <c r="DL207" i="61"/>
  <c r="DL121" i="61"/>
  <c r="DL116" i="61"/>
  <c r="DL146" i="61"/>
  <c r="DL149" i="61"/>
  <c r="DL88" i="61"/>
  <c r="DL118" i="61"/>
  <c r="DL77" i="61"/>
  <c r="DL50" i="61"/>
  <c r="DL86" i="61"/>
  <c r="DL132" i="61"/>
  <c r="DL174" i="61"/>
  <c r="DL178" i="61"/>
  <c r="DL203" i="61"/>
  <c r="DL120" i="61"/>
  <c r="DL151" i="61"/>
  <c r="DL185" i="61"/>
  <c r="DL110" i="61"/>
  <c r="DL69" i="61"/>
  <c r="DL157" i="61"/>
  <c r="DL140" i="61"/>
  <c r="DL123" i="61"/>
  <c r="DJ208" i="61"/>
  <c r="DL208" i="61" l="1"/>
  <c r="AA208" i="66" l="1"/>
  <c r="Z208" i="66"/>
  <c r="Y208" i="66"/>
  <c r="X208" i="66"/>
  <c r="W208" i="66"/>
  <c r="V208" i="66"/>
  <c r="U208" i="66"/>
  <c r="AA207" i="66"/>
  <c r="Z207" i="66"/>
  <c r="Y207" i="66"/>
  <c r="X207" i="66"/>
  <c r="W207" i="66"/>
  <c r="V207" i="66"/>
  <c r="U207" i="66"/>
  <c r="AA206" i="66"/>
  <c r="Z206" i="66"/>
  <c r="Y206" i="66"/>
  <c r="X206" i="66"/>
  <c r="W206" i="66"/>
  <c r="V206" i="66"/>
  <c r="U206" i="66"/>
  <c r="AA205" i="66"/>
  <c r="Z205" i="66"/>
  <c r="Y205" i="66"/>
  <c r="X205" i="66"/>
  <c r="W205" i="66"/>
  <c r="V205" i="66"/>
  <c r="U205" i="66"/>
  <c r="AA204" i="66"/>
  <c r="Z204" i="66"/>
  <c r="Y204" i="66"/>
  <c r="X204" i="66"/>
  <c r="W204" i="66"/>
  <c r="V204" i="66"/>
  <c r="U204" i="66"/>
  <c r="AA203" i="66"/>
  <c r="Z203" i="66"/>
  <c r="Y203" i="66"/>
  <c r="X203" i="66"/>
  <c r="W203" i="66"/>
  <c r="V203" i="66"/>
  <c r="U203" i="66"/>
  <c r="AA202" i="66"/>
  <c r="Z202" i="66"/>
  <c r="Y202" i="66"/>
  <c r="X202" i="66"/>
  <c r="W202" i="66"/>
  <c r="V202" i="66"/>
  <c r="U202" i="66"/>
  <c r="AA201" i="66"/>
  <c r="Z201" i="66"/>
  <c r="Y201" i="66"/>
  <c r="X201" i="66"/>
  <c r="W201" i="66"/>
  <c r="V201" i="66"/>
  <c r="U201" i="66"/>
  <c r="AA200" i="66"/>
  <c r="Z200" i="66"/>
  <c r="Y200" i="66"/>
  <c r="X200" i="66"/>
  <c r="W200" i="66"/>
  <c r="V200" i="66"/>
  <c r="U200" i="66"/>
  <c r="AA199" i="66"/>
  <c r="Z199" i="66"/>
  <c r="Y199" i="66"/>
  <c r="X199" i="66"/>
  <c r="W199" i="66"/>
  <c r="V199" i="66"/>
  <c r="U199" i="66"/>
  <c r="AA198" i="66"/>
  <c r="Z198" i="66"/>
  <c r="Y198" i="66"/>
  <c r="X198" i="66"/>
  <c r="W198" i="66"/>
  <c r="V198" i="66"/>
  <c r="U198" i="66"/>
  <c r="AA197" i="66"/>
  <c r="Z197" i="66"/>
  <c r="Y197" i="66"/>
  <c r="X197" i="66"/>
  <c r="W197" i="66"/>
  <c r="V197" i="66"/>
  <c r="U197" i="66"/>
  <c r="AA196" i="66"/>
  <c r="Z196" i="66"/>
  <c r="Y196" i="66"/>
  <c r="X196" i="66"/>
  <c r="W196" i="66"/>
  <c r="V196" i="66"/>
  <c r="U196" i="66"/>
  <c r="AA195" i="66"/>
  <c r="Z195" i="66"/>
  <c r="Y195" i="66"/>
  <c r="X195" i="66"/>
  <c r="W195" i="66"/>
  <c r="V195" i="66"/>
  <c r="U195" i="66"/>
  <c r="AA194" i="66"/>
  <c r="Z194" i="66"/>
  <c r="Y194" i="66"/>
  <c r="X194" i="66"/>
  <c r="W194" i="66"/>
  <c r="V194" i="66"/>
  <c r="U194" i="66"/>
  <c r="AA193" i="66"/>
  <c r="Z193" i="66"/>
  <c r="Y193" i="66"/>
  <c r="X193" i="66"/>
  <c r="W193" i="66"/>
  <c r="V193" i="66"/>
  <c r="U193" i="66"/>
  <c r="AA192" i="66"/>
  <c r="Z192" i="66"/>
  <c r="Y192" i="66"/>
  <c r="X192" i="66"/>
  <c r="W192" i="66"/>
  <c r="V192" i="66"/>
  <c r="U192" i="66"/>
  <c r="AA191" i="66"/>
  <c r="Z191" i="66"/>
  <c r="Y191" i="66"/>
  <c r="X191" i="66"/>
  <c r="W191" i="66"/>
  <c r="V191" i="66"/>
  <c r="U191" i="66"/>
  <c r="AA190" i="66"/>
  <c r="Z190" i="66"/>
  <c r="Y190" i="66"/>
  <c r="X190" i="66"/>
  <c r="W190" i="66"/>
  <c r="V190" i="66"/>
  <c r="U190" i="66"/>
  <c r="AA189" i="66"/>
  <c r="Z189" i="66"/>
  <c r="Y189" i="66"/>
  <c r="X189" i="66"/>
  <c r="W189" i="66"/>
  <c r="V189" i="66"/>
  <c r="U189" i="66"/>
  <c r="AA188" i="66"/>
  <c r="Z188" i="66"/>
  <c r="Y188" i="66"/>
  <c r="X188" i="66"/>
  <c r="W188" i="66"/>
  <c r="V188" i="66"/>
  <c r="U188" i="66"/>
  <c r="AA187" i="66"/>
  <c r="Z187" i="66"/>
  <c r="Y187" i="66"/>
  <c r="X187" i="66"/>
  <c r="W187" i="66"/>
  <c r="V187" i="66"/>
  <c r="U187" i="66"/>
  <c r="AA186" i="66"/>
  <c r="Z186" i="66"/>
  <c r="Y186" i="66"/>
  <c r="X186" i="66"/>
  <c r="W186" i="66"/>
  <c r="V186" i="66"/>
  <c r="U186" i="66"/>
  <c r="AA185" i="66"/>
  <c r="Z185" i="66"/>
  <c r="Y185" i="66"/>
  <c r="X185" i="66"/>
  <c r="W185" i="66"/>
  <c r="V185" i="66"/>
  <c r="U185" i="66"/>
  <c r="AA184" i="66"/>
  <c r="Z184" i="66"/>
  <c r="Y184" i="66"/>
  <c r="X184" i="66"/>
  <c r="W184" i="66"/>
  <c r="V184" i="66"/>
  <c r="U184" i="66"/>
  <c r="AA183" i="66"/>
  <c r="Z183" i="66"/>
  <c r="Y183" i="66"/>
  <c r="X183" i="66"/>
  <c r="W183" i="66"/>
  <c r="V183" i="66"/>
  <c r="U183" i="66"/>
  <c r="AA182" i="66"/>
  <c r="Z182" i="66"/>
  <c r="Y182" i="66"/>
  <c r="X182" i="66"/>
  <c r="W182" i="66"/>
  <c r="V182" i="66"/>
  <c r="U182" i="66"/>
  <c r="AA181" i="66"/>
  <c r="Z181" i="66"/>
  <c r="Y181" i="66"/>
  <c r="X181" i="66"/>
  <c r="W181" i="66"/>
  <c r="V181" i="66"/>
  <c r="U181" i="66"/>
  <c r="AA180" i="66"/>
  <c r="Z180" i="66"/>
  <c r="Y180" i="66"/>
  <c r="X180" i="66"/>
  <c r="W180" i="66"/>
  <c r="V180" i="66"/>
  <c r="U180" i="66"/>
  <c r="AA179" i="66"/>
  <c r="Z179" i="66"/>
  <c r="Y179" i="66"/>
  <c r="X179" i="66"/>
  <c r="W179" i="66"/>
  <c r="V179" i="66"/>
  <c r="U179" i="66"/>
  <c r="AA178" i="66"/>
  <c r="Z178" i="66"/>
  <c r="Y178" i="66"/>
  <c r="X178" i="66"/>
  <c r="W178" i="66"/>
  <c r="V178" i="66"/>
  <c r="U178" i="66"/>
  <c r="AA177" i="66"/>
  <c r="Z177" i="66"/>
  <c r="Y177" i="66"/>
  <c r="X177" i="66"/>
  <c r="W177" i="66"/>
  <c r="V177" i="66"/>
  <c r="U177" i="66"/>
  <c r="AA176" i="66"/>
  <c r="Z176" i="66"/>
  <c r="Y176" i="66"/>
  <c r="X176" i="66"/>
  <c r="W176" i="66"/>
  <c r="V176" i="66"/>
  <c r="U176" i="66"/>
  <c r="AA175" i="66"/>
  <c r="Z175" i="66"/>
  <c r="Y175" i="66"/>
  <c r="X175" i="66"/>
  <c r="W175" i="66"/>
  <c r="V175" i="66"/>
  <c r="U175" i="66"/>
  <c r="AA174" i="66"/>
  <c r="Z174" i="66"/>
  <c r="Y174" i="66"/>
  <c r="X174" i="66"/>
  <c r="W174" i="66"/>
  <c r="V174" i="66"/>
  <c r="U174" i="66"/>
  <c r="AA173" i="66"/>
  <c r="Z173" i="66"/>
  <c r="Y173" i="66"/>
  <c r="X173" i="66"/>
  <c r="W173" i="66"/>
  <c r="V173" i="66"/>
  <c r="U173" i="66"/>
  <c r="AA172" i="66"/>
  <c r="Z172" i="66"/>
  <c r="Y172" i="66"/>
  <c r="X172" i="66"/>
  <c r="W172" i="66"/>
  <c r="V172" i="66"/>
  <c r="U172" i="66"/>
  <c r="AA171" i="66"/>
  <c r="Z171" i="66"/>
  <c r="Y171" i="66"/>
  <c r="X171" i="66"/>
  <c r="W171" i="66"/>
  <c r="V171" i="66"/>
  <c r="U171" i="66"/>
  <c r="AA170" i="66"/>
  <c r="Z170" i="66"/>
  <c r="Y170" i="66"/>
  <c r="X170" i="66"/>
  <c r="W170" i="66"/>
  <c r="V170" i="66"/>
  <c r="U170" i="66"/>
  <c r="AA169" i="66"/>
  <c r="Z169" i="66"/>
  <c r="Y169" i="66"/>
  <c r="X169" i="66"/>
  <c r="W169" i="66"/>
  <c r="V169" i="66"/>
  <c r="U169" i="66"/>
  <c r="AA168" i="66"/>
  <c r="Z168" i="66"/>
  <c r="Y168" i="66"/>
  <c r="X168" i="66"/>
  <c r="W168" i="66"/>
  <c r="V168" i="66"/>
  <c r="U168" i="66"/>
  <c r="AA167" i="66"/>
  <c r="Z167" i="66"/>
  <c r="Y167" i="66"/>
  <c r="X167" i="66"/>
  <c r="W167" i="66"/>
  <c r="V167" i="66"/>
  <c r="U167" i="66"/>
  <c r="AA166" i="66"/>
  <c r="Z166" i="66"/>
  <c r="Y166" i="66"/>
  <c r="X166" i="66"/>
  <c r="W166" i="66"/>
  <c r="V166" i="66"/>
  <c r="U166" i="66"/>
  <c r="AA165" i="66"/>
  <c r="Z165" i="66"/>
  <c r="Y165" i="66"/>
  <c r="X165" i="66"/>
  <c r="W165" i="66"/>
  <c r="V165" i="66"/>
  <c r="U165" i="66"/>
  <c r="AA164" i="66"/>
  <c r="Z164" i="66"/>
  <c r="Y164" i="66"/>
  <c r="X164" i="66"/>
  <c r="W164" i="66"/>
  <c r="V164" i="66"/>
  <c r="U164" i="66"/>
  <c r="AA163" i="66"/>
  <c r="Z163" i="66"/>
  <c r="Y163" i="66"/>
  <c r="X163" i="66"/>
  <c r="W163" i="66"/>
  <c r="V163" i="66"/>
  <c r="U163" i="66"/>
  <c r="AA162" i="66"/>
  <c r="Z162" i="66"/>
  <c r="Y162" i="66"/>
  <c r="X162" i="66"/>
  <c r="W162" i="66"/>
  <c r="V162" i="66"/>
  <c r="U162" i="66"/>
  <c r="AA161" i="66"/>
  <c r="Z161" i="66"/>
  <c r="Y161" i="66"/>
  <c r="X161" i="66"/>
  <c r="W161" i="66"/>
  <c r="V161" i="66"/>
  <c r="U161" i="66"/>
  <c r="AA160" i="66"/>
  <c r="Z160" i="66"/>
  <c r="Y160" i="66"/>
  <c r="X160" i="66"/>
  <c r="W160" i="66"/>
  <c r="V160" i="66"/>
  <c r="U160" i="66"/>
  <c r="AA159" i="66"/>
  <c r="Z159" i="66"/>
  <c r="Y159" i="66"/>
  <c r="X159" i="66"/>
  <c r="W159" i="66"/>
  <c r="V159" i="66"/>
  <c r="U159" i="66"/>
  <c r="AA158" i="66"/>
  <c r="Z158" i="66"/>
  <c r="Y158" i="66"/>
  <c r="X158" i="66"/>
  <c r="W158" i="66"/>
  <c r="V158" i="66"/>
  <c r="U158" i="66"/>
  <c r="AA157" i="66"/>
  <c r="Z157" i="66"/>
  <c r="Y157" i="66"/>
  <c r="X157" i="66"/>
  <c r="W157" i="66"/>
  <c r="V157" i="66"/>
  <c r="U157" i="66"/>
  <c r="AA156" i="66"/>
  <c r="Z156" i="66"/>
  <c r="Y156" i="66"/>
  <c r="X156" i="66"/>
  <c r="W156" i="66"/>
  <c r="V156" i="66"/>
  <c r="U156" i="66"/>
  <c r="AA155" i="66"/>
  <c r="Z155" i="66"/>
  <c r="Y155" i="66"/>
  <c r="X155" i="66"/>
  <c r="W155" i="66"/>
  <c r="V155" i="66"/>
  <c r="U155" i="66"/>
  <c r="AA154" i="66"/>
  <c r="Z154" i="66"/>
  <c r="Y154" i="66"/>
  <c r="X154" i="66"/>
  <c r="W154" i="66"/>
  <c r="V154" i="66"/>
  <c r="U154" i="66"/>
  <c r="AA153" i="66"/>
  <c r="Z153" i="66"/>
  <c r="Y153" i="66"/>
  <c r="X153" i="66"/>
  <c r="W153" i="66"/>
  <c r="V153" i="66"/>
  <c r="U153" i="66"/>
  <c r="AA152" i="66"/>
  <c r="Z152" i="66"/>
  <c r="Y152" i="66"/>
  <c r="X152" i="66"/>
  <c r="W152" i="66"/>
  <c r="V152" i="66"/>
  <c r="U152" i="66"/>
  <c r="AA151" i="66"/>
  <c r="Z151" i="66"/>
  <c r="Y151" i="66"/>
  <c r="X151" i="66"/>
  <c r="W151" i="66"/>
  <c r="V151" i="66"/>
  <c r="U151" i="66"/>
  <c r="AA150" i="66"/>
  <c r="Z150" i="66"/>
  <c r="Y150" i="66"/>
  <c r="X150" i="66"/>
  <c r="W150" i="66"/>
  <c r="V150" i="66"/>
  <c r="U150" i="66"/>
  <c r="AA149" i="66"/>
  <c r="Z149" i="66"/>
  <c r="Y149" i="66"/>
  <c r="X149" i="66"/>
  <c r="W149" i="66"/>
  <c r="V149" i="66"/>
  <c r="U149" i="66"/>
  <c r="AA148" i="66"/>
  <c r="Z148" i="66"/>
  <c r="Y148" i="66"/>
  <c r="X148" i="66"/>
  <c r="W148" i="66"/>
  <c r="V148" i="66"/>
  <c r="U148" i="66"/>
  <c r="AA147" i="66"/>
  <c r="Z147" i="66"/>
  <c r="Y147" i="66"/>
  <c r="X147" i="66"/>
  <c r="W147" i="66"/>
  <c r="V147" i="66"/>
  <c r="U147" i="66"/>
  <c r="AA146" i="66"/>
  <c r="Z146" i="66"/>
  <c r="Y146" i="66"/>
  <c r="X146" i="66"/>
  <c r="W146" i="66"/>
  <c r="V146" i="66"/>
  <c r="U146" i="66"/>
  <c r="AA145" i="66"/>
  <c r="Z145" i="66"/>
  <c r="Y145" i="66"/>
  <c r="X145" i="66"/>
  <c r="W145" i="66"/>
  <c r="V145" i="66"/>
  <c r="U145" i="66"/>
  <c r="AA144" i="66"/>
  <c r="Z144" i="66"/>
  <c r="Y144" i="66"/>
  <c r="X144" i="66"/>
  <c r="W144" i="66"/>
  <c r="V144" i="66"/>
  <c r="U144" i="66"/>
  <c r="AA143" i="66"/>
  <c r="Z143" i="66"/>
  <c r="Y143" i="66"/>
  <c r="X143" i="66"/>
  <c r="W143" i="66"/>
  <c r="V143" i="66"/>
  <c r="U143" i="66"/>
  <c r="AA142" i="66"/>
  <c r="Z142" i="66"/>
  <c r="Y142" i="66"/>
  <c r="X142" i="66"/>
  <c r="W142" i="66"/>
  <c r="V142" i="66"/>
  <c r="U142" i="66"/>
  <c r="AA141" i="66"/>
  <c r="Z141" i="66"/>
  <c r="Y141" i="66"/>
  <c r="X141" i="66"/>
  <c r="W141" i="66"/>
  <c r="V141" i="66"/>
  <c r="U141" i="66"/>
  <c r="AA140" i="66"/>
  <c r="Z140" i="66"/>
  <c r="Y140" i="66"/>
  <c r="X140" i="66"/>
  <c r="W140" i="66"/>
  <c r="V140" i="66"/>
  <c r="U140" i="66"/>
  <c r="AA139" i="66"/>
  <c r="Z139" i="66"/>
  <c r="Y139" i="66"/>
  <c r="X139" i="66"/>
  <c r="W139" i="66"/>
  <c r="V139" i="66"/>
  <c r="U139" i="66"/>
  <c r="AA138" i="66"/>
  <c r="Z138" i="66"/>
  <c r="Y138" i="66"/>
  <c r="X138" i="66"/>
  <c r="W138" i="66"/>
  <c r="V138" i="66"/>
  <c r="U138" i="66"/>
  <c r="AA137" i="66"/>
  <c r="Z137" i="66"/>
  <c r="Y137" i="66"/>
  <c r="X137" i="66"/>
  <c r="W137" i="66"/>
  <c r="V137" i="66"/>
  <c r="U137" i="66"/>
  <c r="AA136" i="66"/>
  <c r="Z136" i="66"/>
  <c r="Y136" i="66"/>
  <c r="X136" i="66"/>
  <c r="W136" i="66"/>
  <c r="V136" i="66"/>
  <c r="U136" i="66"/>
  <c r="AA135" i="66"/>
  <c r="Z135" i="66"/>
  <c r="Y135" i="66"/>
  <c r="X135" i="66"/>
  <c r="W135" i="66"/>
  <c r="V135" i="66"/>
  <c r="U135" i="66"/>
  <c r="AA134" i="66"/>
  <c r="Z134" i="66"/>
  <c r="Y134" i="66"/>
  <c r="X134" i="66"/>
  <c r="W134" i="66"/>
  <c r="V134" i="66"/>
  <c r="U134" i="66"/>
  <c r="AA133" i="66"/>
  <c r="Z133" i="66"/>
  <c r="Y133" i="66"/>
  <c r="X133" i="66"/>
  <c r="W133" i="66"/>
  <c r="V133" i="66"/>
  <c r="U133" i="66"/>
  <c r="AA132" i="66"/>
  <c r="Z132" i="66"/>
  <c r="Y132" i="66"/>
  <c r="X132" i="66"/>
  <c r="W132" i="66"/>
  <c r="V132" i="66"/>
  <c r="U132" i="66"/>
  <c r="AA131" i="66"/>
  <c r="Z131" i="66"/>
  <c r="Y131" i="66"/>
  <c r="X131" i="66"/>
  <c r="W131" i="66"/>
  <c r="V131" i="66"/>
  <c r="U131" i="66"/>
  <c r="AA130" i="66"/>
  <c r="Z130" i="66"/>
  <c r="Y130" i="66"/>
  <c r="X130" i="66"/>
  <c r="W130" i="66"/>
  <c r="V130" i="66"/>
  <c r="U130" i="66"/>
  <c r="AA129" i="66"/>
  <c r="Z129" i="66"/>
  <c r="Y129" i="66"/>
  <c r="X129" i="66"/>
  <c r="W129" i="66"/>
  <c r="V129" i="66"/>
  <c r="U129" i="66"/>
  <c r="AA128" i="66"/>
  <c r="Z128" i="66"/>
  <c r="Y128" i="66"/>
  <c r="X128" i="66"/>
  <c r="W128" i="66"/>
  <c r="V128" i="66"/>
  <c r="U128" i="66"/>
  <c r="AA127" i="66"/>
  <c r="Z127" i="66"/>
  <c r="Y127" i="66"/>
  <c r="X127" i="66"/>
  <c r="W127" i="66"/>
  <c r="V127" i="66"/>
  <c r="U127" i="66"/>
  <c r="AA126" i="66"/>
  <c r="Z126" i="66"/>
  <c r="Y126" i="66"/>
  <c r="X126" i="66"/>
  <c r="W126" i="66"/>
  <c r="V126" i="66"/>
  <c r="U126" i="66"/>
  <c r="AA125" i="66"/>
  <c r="Z125" i="66"/>
  <c r="Y125" i="66"/>
  <c r="X125" i="66"/>
  <c r="W125" i="66"/>
  <c r="V125" i="66"/>
  <c r="U125" i="66"/>
  <c r="AA124" i="66"/>
  <c r="Z124" i="66"/>
  <c r="Y124" i="66"/>
  <c r="X124" i="66"/>
  <c r="W124" i="66"/>
  <c r="V124" i="66"/>
  <c r="U124" i="66"/>
  <c r="AA123" i="66"/>
  <c r="Z123" i="66"/>
  <c r="Y123" i="66"/>
  <c r="X123" i="66"/>
  <c r="W123" i="66"/>
  <c r="V123" i="66"/>
  <c r="U123" i="66"/>
  <c r="AA122" i="66"/>
  <c r="Z122" i="66"/>
  <c r="Y122" i="66"/>
  <c r="X122" i="66"/>
  <c r="W122" i="66"/>
  <c r="V122" i="66"/>
  <c r="U122" i="66"/>
  <c r="AA121" i="66"/>
  <c r="Z121" i="66"/>
  <c r="Y121" i="66"/>
  <c r="X121" i="66"/>
  <c r="W121" i="66"/>
  <c r="V121" i="66"/>
  <c r="U121" i="66"/>
  <c r="AA120" i="66"/>
  <c r="Z120" i="66"/>
  <c r="Y120" i="66"/>
  <c r="X120" i="66"/>
  <c r="W120" i="66"/>
  <c r="V120" i="66"/>
  <c r="U120" i="66"/>
  <c r="AA119" i="66"/>
  <c r="Z119" i="66"/>
  <c r="Y119" i="66"/>
  <c r="X119" i="66"/>
  <c r="W119" i="66"/>
  <c r="V119" i="66"/>
  <c r="U119" i="66"/>
  <c r="AA118" i="66"/>
  <c r="Z118" i="66"/>
  <c r="Y118" i="66"/>
  <c r="X118" i="66"/>
  <c r="W118" i="66"/>
  <c r="V118" i="66"/>
  <c r="U118" i="66"/>
  <c r="AA117" i="66"/>
  <c r="Z117" i="66"/>
  <c r="Y117" i="66"/>
  <c r="X117" i="66"/>
  <c r="W117" i="66"/>
  <c r="V117" i="66"/>
  <c r="U117" i="66"/>
  <c r="AA116" i="66"/>
  <c r="Z116" i="66"/>
  <c r="Y116" i="66"/>
  <c r="X116" i="66"/>
  <c r="W116" i="66"/>
  <c r="V116" i="66"/>
  <c r="U116" i="66"/>
  <c r="AA115" i="66"/>
  <c r="Z115" i="66"/>
  <c r="Y115" i="66"/>
  <c r="X115" i="66"/>
  <c r="W115" i="66"/>
  <c r="V115" i="66"/>
  <c r="U115" i="66"/>
  <c r="AA114" i="66"/>
  <c r="Z114" i="66"/>
  <c r="Y114" i="66"/>
  <c r="X114" i="66"/>
  <c r="W114" i="66"/>
  <c r="V114" i="66"/>
  <c r="U114" i="66"/>
  <c r="AA113" i="66"/>
  <c r="Z113" i="66"/>
  <c r="Y113" i="66"/>
  <c r="X113" i="66"/>
  <c r="W113" i="66"/>
  <c r="V113" i="66"/>
  <c r="U113" i="66"/>
  <c r="AA112" i="66"/>
  <c r="Z112" i="66"/>
  <c r="Y112" i="66"/>
  <c r="X112" i="66"/>
  <c r="W112" i="66"/>
  <c r="V112" i="66"/>
  <c r="U112" i="66"/>
  <c r="AA111" i="66"/>
  <c r="Z111" i="66"/>
  <c r="Y111" i="66"/>
  <c r="X111" i="66"/>
  <c r="W111" i="66"/>
  <c r="V111" i="66"/>
  <c r="U111" i="66"/>
  <c r="AA110" i="66"/>
  <c r="Z110" i="66"/>
  <c r="Y110" i="66"/>
  <c r="X110" i="66"/>
  <c r="W110" i="66"/>
  <c r="V110" i="66"/>
  <c r="U110" i="66"/>
  <c r="AA109" i="66"/>
  <c r="Z109" i="66"/>
  <c r="Y109" i="66"/>
  <c r="X109" i="66"/>
  <c r="W109" i="66"/>
  <c r="V109" i="66"/>
  <c r="U109" i="66"/>
  <c r="AA108" i="66"/>
  <c r="Z108" i="66"/>
  <c r="Y108" i="66"/>
  <c r="X108" i="66"/>
  <c r="W108" i="66"/>
  <c r="V108" i="66"/>
  <c r="U108" i="66"/>
  <c r="AA107" i="66"/>
  <c r="Z107" i="66"/>
  <c r="Y107" i="66"/>
  <c r="X107" i="66"/>
  <c r="W107" i="66"/>
  <c r="V107" i="66"/>
  <c r="U107" i="66"/>
  <c r="AA106" i="66"/>
  <c r="Z106" i="66"/>
  <c r="Y106" i="66"/>
  <c r="X106" i="66"/>
  <c r="W106" i="66"/>
  <c r="V106" i="66"/>
  <c r="U106" i="66"/>
  <c r="AA105" i="66"/>
  <c r="Z105" i="66"/>
  <c r="Y105" i="66"/>
  <c r="X105" i="66"/>
  <c r="W105" i="66"/>
  <c r="V105" i="66"/>
  <c r="U105" i="66"/>
  <c r="AA104" i="66"/>
  <c r="Z104" i="66"/>
  <c r="Y104" i="66"/>
  <c r="X104" i="66"/>
  <c r="W104" i="66"/>
  <c r="V104" i="66"/>
  <c r="U104" i="66"/>
  <c r="AA103" i="66"/>
  <c r="Z103" i="66"/>
  <c r="Y103" i="66"/>
  <c r="X103" i="66"/>
  <c r="W103" i="66"/>
  <c r="V103" i="66"/>
  <c r="U103" i="66"/>
  <c r="AA102" i="66"/>
  <c r="Z102" i="66"/>
  <c r="Y102" i="66"/>
  <c r="X102" i="66"/>
  <c r="W102" i="66"/>
  <c r="V102" i="66"/>
  <c r="U102" i="66"/>
  <c r="AA101" i="66"/>
  <c r="Z101" i="66"/>
  <c r="Y101" i="66"/>
  <c r="X101" i="66"/>
  <c r="W101" i="66"/>
  <c r="V101" i="66"/>
  <c r="U101" i="66"/>
  <c r="AA100" i="66"/>
  <c r="Z100" i="66"/>
  <c r="Y100" i="66"/>
  <c r="X100" i="66"/>
  <c r="W100" i="66"/>
  <c r="V100" i="66"/>
  <c r="U100" i="66"/>
  <c r="AA99" i="66"/>
  <c r="Z99" i="66"/>
  <c r="Y99" i="66"/>
  <c r="X99" i="66"/>
  <c r="W99" i="66"/>
  <c r="V99" i="66"/>
  <c r="U99" i="66"/>
  <c r="AA98" i="66"/>
  <c r="Z98" i="66"/>
  <c r="Y98" i="66"/>
  <c r="X98" i="66"/>
  <c r="W98" i="66"/>
  <c r="V98" i="66"/>
  <c r="U98" i="66"/>
  <c r="AA97" i="66"/>
  <c r="Z97" i="66"/>
  <c r="Y97" i="66"/>
  <c r="X97" i="66"/>
  <c r="W97" i="66"/>
  <c r="V97" i="66"/>
  <c r="U97" i="66"/>
  <c r="AA96" i="66"/>
  <c r="Z96" i="66"/>
  <c r="Y96" i="66"/>
  <c r="X96" i="66"/>
  <c r="W96" i="66"/>
  <c r="V96" i="66"/>
  <c r="U96" i="66"/>
  <c r="AA95" i="66"/>
  <c r="Z95" i="66"/>
  <c r="Y95" i="66"/>
  <c r="X95" i="66"/>
  <c r="W95" i="66"/>
  <c r="V95" i="66"/>
  <c r="U95" i="66"/>
  <c r="AA94" i="66"/>
  <c r="Z94" i="66"/>
  <c r="Y94" i="66"/>
  <c r="X94" i="66"/>
  <c r="W94" i="66"/>
  <c r="V94" i="66"/>
  <c r="U94" i="66"/>
  <c r="AA93" i="66"/>
  <c r="Z93" i="66"/>
  <c r="Y93" i="66"/>
  <c r="X93" i="66"/>
  <c r="W93" i="66"/>
  <c r="V93" i="66"/>
  <c r="U93" i="66"/>
  <c r="AA92" i="66"/>
  <c r="Z92" i="66"/>
  <c r="Y92" i="66"/>
  <c r="X92" i="66"/>
  <c r="W92" i="66"/>
  <c r="V92" i="66"/>
  <c r="U92" i="66"/>
  <c r="AA91" i="66"/>
  <c r="Z91" i="66"/>
  <c r="Y91" i="66"/>
  <c r="X91" i="66"/>
  <c r="W91" i="66"/>
  <c r="V91" i="66"/>
  <c r="U91" i="66"/>
  <c r="AA90" i="66"/>
  <c r="Z90" i="66"/>
  <c r="Y90" i="66"/>
  <c r="X90" i="66"/>
  <c r="W90" i="66"/>
  <c r="V90" i="66"/>
  <c r="U90" i="66"/>
  <c r="AA89" i="66"/>
  <c r="Z89" i="66"/>
  <c r="Y89" i="66"/>
  <c r="X89" i="66"/>
  <c r="W89" i="66"/>
  <c r="V89" i="66"/>
  <c r="U89" i="66"/>
  <c r="AA88" i="66"/>
  <c r="Z88" i="66"/>
  <c r="Y88" i="66"/>
  <c r="X88" i="66"/>
  <c r="W88" i="66"/>
  <c r="V88" i="66"/>
  <c r="U88" i="66"/>
  <c r="AA87" i="66"/>
  <c r="Z87" i="66"/>
  <c r="Y87" i="66"/>
  <c r="X87" i="66"/>
  <c r="W87" i="66"/>
  <c r="V87" i="66"/>
  <c r="U87" i="66"/>
  <c r="AA86" i="66"/>
  <c r="Z86" i="66"/>
  <c r="Y86" i="66"/>
  <c r="X86" i="66"/>
  <c r="W86" i="66"/>
  <c r="V86" i="66"/>
  <c r="U86" i="66"/>
  <c r="AA85" i="66"/>
  <c r="Z85" i="66"/>
  <c r="Y85" i="66"/>
  <c r="X85" i="66"/>
  <c r="W85" i="66"/>
  <c r="V85" i="66"/>
  <c r="U85" i="66"/>
  <c r="AA84" i="66"/>
  <c r="Z84" i="66"/>
  <c r="Y84" i="66"/>
  <c r="X84" i="66"/>
  <c r="W84" i="66"/>
  <c r="V84" i="66"/>
  <c r="U84" i="66"/>
  <c r="AA83" i="66"/>
  <c r="Z83" i="66"/>
  <c r="Y83" i="66"/>
  <c r="X83" i="66"/>
  <c r="W83" i="66"/>
  <c r="V83" i="66"/>
  <c r="U83" i="66"/>
  <c r="AA82" i="66"/>
  <c r="Z82" i="66"/>
  <c r="Y82" i="66"/>
  <c r="X82" i="66"/>
  <c r="W82" i="66"/>
  <c r="V82" i="66"/>
  <c r="U82" i="66"/>
  <c r="AA81" i="66"/>
  <c r="Z81" i="66"/>
  <c r="Y81" i="66"/>
  <c r="X81" i="66"/>
  <c r="W81" i="66"/>
  <c r="V81" i="66"/>
  <c r="U81" i="66"/>
  <c r="AA80" i="66"/>
  <c r="Z80" i="66"/>
  <c r="Y80" i="66"/>
  <c r="X80" i="66"/>
  <c r="W80" i="66"/>
  <c r="V80" i="66"/>
  <c r="U80" i="66"/>
  <c r="AA79" i="66"/>
  <c r="Z79" i="66"/>
  <c r="Y79" i="66"/>
  <c r="X79" i="66"/>
  <c r="W79" i="66"/>
  <c r="V79" i="66"/>
  <c r="U79" i="66"/>
  <c r="AA78" i="66"/>
  <c r="Z78" i="66"/>
  <c r="Y78" i="66"/>
  <c r="X78" i="66"/>
  <c r="W78" i="66"/>
  <c r="V78" i="66"/>
  <c r="U78" i="66"/>
  <c r="AA77" i="66"/>
  <c r="Z77" i="66"/>
  <c r="Y77" i="66"/>
  <c r="X77" i="66"/>
  <c r="W77" i="66"/>
  <c r="V77" i="66"/>
  <c r="U77" i="66"/>
  <c r="AA76" i="66"/>
  <c r="Z76" i="66"/>
  <c r="Y76" i="66"/>
  <c r="X76" i="66"/>
  <c r="W76" i="66"/>
  <c r="V76" i="66"/>
  <c r="U76" i="66"/>
  <c r="AA75" i="66"/>
  <c r="Z75" i="66"/>
  <c r="Y75" i="66"/>
  <c r="X75" i="66"/>
  <c r="W75" i="66"/>
  <c r="V75" i="66"/>
  <c r="U75" i="66"/>
  <c r="AA74" i="66"/>
  <c r="Z74" i="66"/>
  <c r="Y74" i="66"/>
  <c r="X74" i="66"/>
  <c r="W74" i="66"/>
  <c r="V74" i="66"/>
  <c r="U74" i="66"/>
  <c r="AA73" i="66"/>
  <c r="Z73" i="66"/>
  <c r="Y73" i="66"/>
  <c r="X73" i="66"/>
  <c r="W73" i="66"/>
  <c r="V73" i="66"/>
  <c r="U73" i="66"/>
  <c r="AA71" i="66"/>
  <c r="Z71" i="66"/>
  <c r="Y71" i="66"/>
  <c r="X71" i="66"/>
  <c r="W71" i="66"/>
  <c r="V71" i="66"/>
  <c r="U71" i="66"/>
  <c r="AA70" i="66"/>
  <c r="Z70" i="66"/>
  <c r="Y70" i="66"/>
  <c r="X70" i="66"/>
  <c r="W70" i="66"/>
  <c r="V70" i="66"/>
  <c r="U70" i="66"/>
  <c r="AA69" i="66"/>
  <c r="Z69" i="66"/>
  <c r="Y69" i="66"/>
  <c r="X69" i="66"/>
  <c r="W69" i="66"/>
  <c r="V69" i="66"/>
  <c r="U69" i="66"/>
  <c r="AA68" i="66"/>
  <c r="Z68" i="66"/>
  <c r="Y68" i="66"/>
  <c r="X68" i="66"/>
  <c r="W68" i="66"/>
  <c r="V68" i="66"/>
  <c r="U68" i="66"/>
  <c r="AA67" i="66"/>
  <c r="Z67" i="66"/>
  <c r="Y67" i="66"/>
  <c r="X67" i="66"/>
  <c r="W67" i="66"/>
  <c r="V67" i="66"/>
  <c r="U67" i="66"/>
  <c r="AA66" i="66"/>
  <c r="Z66" i="66"/>
  <c r="Y66" i="66"/>
  <c r="X66" i="66"/>
  <c r="W66" i="66"/>
  <c r="V66" i="66"/>
  <c r="U66" i="66"/>
  <c r="AA65" i="66"/>
  <c r="Z65" i="66"/>
  <c r="Y65" i="66"/>
  <c r="X65" i="66"/>
  <c r="W65" i="66"/>
  <c r="V65" i="66"/>
  <c r="U65" i="66"/>
  <c r="AA64" i="66"/>
  <c r="Z64" i="66"/>
  <c r="Y64" i="66"/>
  <c r="X64" i="66"/>
  <c r="W64" i="66"/>
  <c r="V64" i="66"/>
  <c r="U64" i="66"/>
  <c r="AA63" i="66"/>
  <c r="Z63" i="66"/>
  <c r="Y63" i="66"/>
  <c r="X63" i="66"/>
  <c r="W63" i="66"/>
  <c r="V63" i="66"/>
  <c r="U63" i="66"/>
  <c r="AA62" i="66"/>
  <c r="Z62" i="66"/>
  <c r="Y62" i="66"/>
  <c r="X62" i="66"/>
  <c r="W62" i="66"/>
  <c r="V62" i="66"/>
  <c r="U62" i="66"/>
  <c r="AA61" i="66"/>
  <c r="Z61" i="66"/>
  <c r="Y61" i="66"/>
  <c r="X61" i="66"/>
  <c r="W61" i="66"/>
  <c r="V61" i="66"/>
  <c r="U61" i="66"/>
  <c r="AA60" i="66"/>
  <c r="Z60" i="66"/>
  <c r="Y60" i="66"/>
  <c r="X60" i="66"/>
  <c r="W60" i="66"/>
  <c r="V60" i="66"/>
  <c r="U60" i="66"/>
  <c r="AA59" i="66"/>
  <c r="Z59" i="66"/>
  <c r="Y59" i="66"/>
  <c r="X59" i="66"/>
  <c r="W59" i="66"/>
  <c r="V59" i="66"/>
  <c r="U59" i="66"/>
  <c r="AA58" i="66"/>
  <c r="Z58" i="66"/>
  <c r="Y58" i="66"/>
  <c r="X58" i="66"/>
  <c r="W58" i="66"/>
  <c r="V58" i="66"/>
  <c r="U58" i="66"/>
  <c r="AA57" i="66"/>
  <c r="Z57" i="66"/>
  <c r="Y57" i="66"/>
  <c r="X57" i="66"/>
  <c r="W57" i="66"/>
  <c r="V57" i="66"/>
  <c r="U57" i="66"/>
  <c r="AA56" i="66"/>
  <c r="Z56" i="66"/>
  <c r="Y56" i="66"/>
  <c r="X56" i="66"/>
  <c r="W56" i="66"/>
  <c r="V56" i="66"/>
  <c r="U56" i="66"/>
  <c r="AA55" i="66"/>
  <c r="Z55" i="66"/>
  <c r="Y55" i="66"/>
  <c r="X55" i="66"/>
  <c r="W55" i="66"/>
  <c r="V55" i="66"/>
  <c r="U55" i="66"/>
  <c r="AA54" i="66"/>
  <c r="Z54" i="66"/>
  <c r="Y54" i="66"/>
  <c r="X54" i="66"/>
  <c r="W54" i="66"/>
  <c r="V54" i="66"/>
  <c r="U54" i="66"/>
  <c r="AA53" i="66"/>
  <c r="Z53" i="66"/>
  <c r="Y53" i="66"/>
  <c r="X53" i="66"/>
  <c r="W53" i="66"/>
  <c r="V53" i="66"/>
  <c r="U53" i="66"/>
  <c r="AA52" i="66"/>
  <c r="Z52" i="66"/>
  <c r="Y52" i="66"/>
  <c r="X52" i="66"/>
  <c r="W52" i="66"/>
  <c r="V52" i="66"/>
  <c r="U52" i="66"/>
  <c r="AA51" i="66"/>
  <c r="Z51" i="66"/>
  <c r="Y51" i="66"/>
  <c r="X51" i="66"/>
  <c r="W51" i="66"/>
  <c r="V51" i="66"/>
  <c r="U51" i="66"/>
  <c r="AA50" i="66"/>
  <c r="Z50" i="66"/>
  <c r="Y50" i="66"/>
  <c r="X50" i="66"/>
  <c r="W50" i="66"/>
  <c r="V50" i="66"/>
  <c r="U50" i="66"/>
  <c r="AA49" i="66"/>
  <c r="Z49" i="66"/>
  <c r="Y49" i="66"/>
  <c r="X49" i="66"/>
  <c r="W49" i="66"/>
  <c r="V49" i="66"/>
  <c r="U49" i="66"/>
  <c r="AA48" i="66"/>
  <c r="Z48" i="66"/>
  <c r="Y48" i="66"/>
  <c r="X48" i="66"/>
  <c r="W48" i="66"/>
  <c r="V48" i="66"/>
  <c r="U48" i="66"/>
  <c r="AA47" i="66"/>
  <c r="Z47" i="66"/>
  <c r="Y47" i="66"/>
  <c r="X47" i="66"/>
  <c r="W47" i="66"/>
  <c r="V47" i="66"/>
  <c r="U47" i="66"/>
  <c r="AA46" i="66"/>
  <c r="Z46" i="66"/>
  <c r="Y46" i="66"/>
  <c r="X46" i="66"/>
  <c r="W46" i="66"/>
  <c r="V46" i="66"/>
  <c r="U46" i="66"/>
  <c r="AA45" i="66"/>
  <c r="Z45" i="66"/>
  <c r="Y45" i="66"/>
  <c r="X45" i="66"/>
  <c r="W45" i="66"/>
  <c r="V45" i="66"/>
  <c r="U45" i="66"/>
  <c r="AA44" i="66"/>
  <c r="Z44" i="66"/>
  <c r="Y44" i="66"/>
  <c r="X44" i="66"/>
  <c r="W44" i="66"/>
  <c r="V44" i="66"/>
  <c r="U44" i="66"/>
  <c r="AA43" i="66"/>
  <c r="Z43" i="66"/>
  <c r="Y43" i="66"/>
  <c r="X43" i="66"/>
  <c r="W43" i="66"/>
  <c r="V43" i="66"/>
  <c r="U43" i="66"/>
  <c r="AA42" i="66"/>
  <c r="Z42" i="66"/>
  <c r="Y42" i="66"/>
  <c r="X42" i="66"/>
  <c r="W42" i="66"/>
  <c r="V42" i="66"/>
  <c r="U42" i="66"/>
  <c r="AA41" i="66"/>
  <c r="Z41" i="66"/>
  <c r="Y41" i="66"/>
  <c r="X41" i="66"/>
  <c r="W41" i="66"/>
  <c r="V41" i="66"/>
  <c r="U41" i="66"/>
  <c r="AA40" i="66"/>
  <c r="Z40" i="66"/>
  <c r="Y40" i="66"/>
  <c r="X40" i="66"/>
  <c r="W40" i="66"/>
  <c r="V40" i="66"/>
  <c r="U40" i="66"/>
  <c r="AA39" i="66"/>
  <c r="Z39" i="66"/>
  <c r="Y39" i="66"/>
  <c r="X39" i="66"/>
  <c r="W39" i="66"/>
  <c r="V39" i="66"/>
  <c r="U39" i="66"/>
  <c r="AA38" i="66"/>
  <c r="Z38" i="66"/>
  <c r="Y38" i="66"/>
  <c r="X38" i="66"/>
  <c r="W38" i="66"/>
  <c r="V38" i="66"/>
  <c r="U38" i="66"/>
  <c r="AA35" i="66"/>
  <c r="Z35" i="66"/>
  <c r="Y35" i="66"/>
  <c r="X35" i="66"/>
  <c r="W35" i="66"/>
  <c r="V35" i="66"/>
  <c r="U35" i="66"/>
  <c r="AA34" i="66"/>
  <c r="Z34" i="66"/>
  <c r="Y34" i="66"/>
  <c r="X34" i="66"/>
  <c r="W34" i="66"/>
  <c r="V34" i="66"/>
  <c r="U34" i="66"/>
  <c r="AA33" i="66"/>
  <c r="Z33" i="66"/>
  <c r="Y33" i="66"/>
  <c r="X33" i="66"/>
  <c r="W33" i="66"/>
  <c r="V33" i="66"/>
  <c r="U33" i="66"/>
  <c r="AA32" i="66"/>
  <c r="Z32" i="66"/>
  <c r="Y32" i="66"/>
  <c r="X32" i="66"/>
  <c r="W32" i="66"/>
  <c r="V32" i="66"/>
  <c r="U32" i="66"/>
  <c r="AA31" i="66"/>
  <c r="Z31" i="66"/>
  <c r="Y31" i="66"/>
  <c r="X31" i="66"/>
  <c r="W31" i="66"/>
  <c r="V31" i="66"/>
  <c r="U31" i="66"/>
  <c r="AA30" i="66"/>
  <c r="Z30" i="66"/>
  <c r="Y30" i="66"/>
  <c r="X30" i="66"/>
  <c r="W30" i="66"/>
  <c r="V30" i="66"/>
  <c r="U30" i="66"/>
  <c r="AA29" i="66"/>
  <c r="Z29" i="66"/>
  <c r="Y29" i="66"/>
  <c r="X29" i="66"/>
  <c r="W29" i="66"/>
  <c r="V29" i="66"/>
  <c r="U29" i="66"/>
  <c r="AA28" i="66"/>
  <c r="Z28" i="66"/>
  <c r="Y28" i="66"/>
  <c r="X28" i="66"/>
  <c r="W28" i="66"/>
  <c r="V28" i="66"/>
  <c r="U28" i="66"/>
  <c r="AA27" i="66"/>
  <c r="Z27" i="66"/>
  <c r="Y27" i="66"/>
  <c r="X27" i="66"/>
  <c r="W27" i="66"/>
  <c r="V27" i="66"/>
  <c r="U27" i="66"/>
  <c r="AA26" i="66"/>
  <c r="Z26" i="66"/>
  <c r="Y26" i="66"/>
  <c r="X26" i="66"/>
  <c r="W26" i="66"/>
  <c r="V26" i="66"/>
  <c r="U26" i="66"/>
  <c r="AA25" i="66"/>
  <c r="Z25" i="66"/>
  <c r="Y25" i="66"/>
  <c r="X25" i="66"/>
  <c r="W25" i="66"/>
  <c r="V25" i="66"/>
  <c r="U25" i="66"/>
  <c r="AA24" i="66"/>
  <c r="Z24" i="66"/>
  <c r="Y24" i="66"/>
  <c r="X24" i="66"/>
  <c r="W24" i="66"/>
  <c r="V24" i="66"/>
  <c r="U24" i="66"/>
  <c r="AA23" i="66"/>
  <c r="Z23" i="66"/>
  <c r="Y23" i="66"/>
  <c r="X23" i="66"/>
  <c r="W23" i="66"/>
  <c r="V23" i="66"/>
  <c r="U23" i="66"/>
  <c r="AA22" i="66"/>
  <c r="Z22" i="66"/>
  <c r="Y22" i="66"/>
  <c r="X22" i="66"/>
  <c r="W22" i="66"/>
  <c r="V22" i="66"/>
  <c r="U22" i="66"/>
  <c r="AA21" i="66"/>
  <c r="Z21" i="66"/>
  <c r="Y21" i="66"/>
  <c r="X21" i="66"/>
  <c r="W21" i="66"/>
  <c r="V21" i="66"/>
  <c r="U21" i="66"/>
  <c r="AA20" i="66"/>
  <c r="Z20" i="66"/>
  <c r="Y20" i="66"/>
  <c r="X20" i="66"/>
  <c r="W20" i="66"/>
  <c r="V20" i="66"/>
  <c r="U20" i="66"/>
  <c r="AA19" i="66"/>
  <c r="Z19" i="66"/>
  <c r="Y19" i="66"/>
  <c r="X19" i="66"/>
  <c r="W19" i="66"/>
  <c r="V19" i="66"/>
  <c r="U19" i="66"/>
  <c r="AA18" i="66"/>
  <c r="Z18" i="66"/>
  <c r="Y18" i="66"/>
  <c r="X18" i="66"/>
  <c r="W18" i="66"/>
  <c r="V18" i="66"/>
  <c r="U18" i="66"/>
  <c r="AA17" i="66"/>
  <c r="Z17" i="66"/>
  <c r="Y17" i="66"/>
  <c r="X17" i="66"/>
  <c r="W17" i="66"/>
  <c r="V17" i="66"/>
  <c r="U17" i="66"/>
  <c r="AA16" i="66"/>
  <c r="Z16" i="66"/>
  <c r="Y16" i="66"/>
  <c r="X16" i="66"/>
  <c r="W16" i="66"/>
  <c r="V16" i="66"/>
  <c r="U16" i="66"/>
  <c r="AA15" i="66"/>
  <c r="Z15" i="66"/>
  <c r="Y15" i="66"/>
  <c r="X15" i="66"/>
  <c r="W15" i="66"/>
  <c r="V15" i="66"/>
  <c r="U15" i="66"/>
  <c r="AA14" i="66"/>
  <c r="Z14" i="66"/>
  <c r="Y14" i="66"/>
  <c r="X14" i="66"/>
  <c r="W14" i="66"/>
  <c r="V14" i="66"/>
  <c r="U14" i="66"/>
  <c r="AA13" i="66"/>
  <c r="Z13" i="66"/>
  <c r="Y13" i="66"/>
  <c r="X13" i="66"/>
  <c r="W13" i="66"/>
  <c r="V13" i="66"/>
  <c r="U13" i="66"/>
  <c r="AA12" i="66"/>
  <c r="Z12" i="66"/>
  <c r="Y12" i="66"/>
  <c r="X12" i="66"/>
  <c r="W12" i="66"/>
  <c r="V12" i="66"/>
  <c r="U12" i="66"/>
  <c r="AA11" i="66"/>
  <c r="Z11" i="66"/>
  <c r="Y11" i="66"/>
  <c r="X11" i="66"/>
  <c r="W11" i="66"/>
  <c r="V11" i="66"/>
  <c r="U11" i="66"/>
  <c r="AA10" i="66"/>
  <c r="Z10" i="66"/>
  <c r="Y10" i="66"/>
  <c r="X10" i="66"/>
  <c r="W10" i="66"/>
  <c r="V10" i="66"/>
  <c r="U10" i="66"/>
  <c r="AA9" i="66"/>
  <c r="Z9" i="66"/>
  <c r="Y9" i="66"/>
  <c r="X9" i="66"/>
  <c r="W9" i="66"/>
  <c r="V9" i="66"/>
  <c r="U9" i="66"/>
  <c r="AA8" i="66"/>
  <c r="Z8" i="66"/>
  <c r="Y8" i="66"/>
  <c r="X8" i="66"/>
  <c r="W8" i="66"/>
  <c r="V8" i="66"/>
  <c r="U8" i="66"/>
  <c r="V265" i="66" l="1"/>
  <c r="W265" i="66"/>
  <c r="X265" i="66"/>
  <c r="Y265" i="66"/>
  <c r="Z265" i="66"/>
  <c r="S265" i="66"/>
  <c r="AA265" i="66"/>
  <c r="U265" i="66"/>
  <c r="Q69" i="11" l="1"/>
  <c r="Q74" i="11"/>
  <c r="Q75" i="11"/>
  <c r="Q76" i="11"/>
  <c r="Q87" i="11"/>
  <c r="Q88" i="11"/>
  <c r="BB80" i="49" l="1"/>
  <c r="BB88" i="49"/>
  <c r="BB92" i="49"/>
  <c r="BB100" i="49"/>
  <c r="BB104" i="49"/>
  <c r="BB108" i="49"/>
  <c r="BB112" i="49"/>
  <c r="BB116" i="49"/>
  <c r="BB120" i="49"/>
  <c r="BB124" i="49"/>
  <c r="BB128" i="49"/>
  <c r="BB132" i="49"/>
  <c r="BB136" i="49"/>
  <c r="BB140" i="49"/>
  <c r="BB144" i="49"/>
  <c r="BB148" i="49"/>
  <c r="BB157" i="49"/>
  <c r="BB161" i="49"/>
  <c r="BB165" i="49"/>
  <c r="BB169" i="49"/>
  <c r="BB173" i="49"/>
  <c r="BB177" i="49"/>
  <c r="BB181" i="49"/>
  <c r="BB185" i="49"/>
  <c r="BB189" i="49"/>
  <c r="BB193" i="49"/>
  <c r="BB197" i="49"/>
  <c r="BB201" i="49"/>
  <c r="BB205" i="49"/>
  <c r="BB72" i="49"/>
  <c r="BB76" i="49"/>
  <c r="BB24" i="49"/>
  <c r="BB28" i="49"/>
  <c r="BB32" i="49"/>
  <c r="BB36" i="49"/>
  <c r="BB40" i="49"/>
  <c r="BB44" i="49"/>
  <c r="BB48" i="49"/>
  <c r="BB52" i="49"/>
  <c r="BB56" i="49"/>
  <c r="BB60" i="49"/>
  <c r="BB64" i="49"/>
  <c r="BB68" i="49"/>
  <c r="BB12" i="49"/>
  <c r="BB16" i="49"/>
  <c r="BB20" i="49"/>
  <c r="BB8" i="49"/>
  <c r="BB96" i="49"/>
  <c r="BB199" i="49"/>
  <c r="BB84" i="49"/>
  <c r="BB152" i="49"/>
  <c r="BB25" i="49"/>
  <c r="BB41" i="49"/>
  <c r="BB45" i="49"/>
  <c r="BB49" i="49"/>
  <c r="BB53" i="49"/>
  <c r="BB57" i="49"/>
  <c r="BB61" i="49"/>
  <c r="BB65" i="49"/>
  <c r="BB69" i="49"/>
  <c r="BB73" i="49"/>
  <c r="BB77" i="49"/>
  <c r="BB81" i="49"/>
  <c r="BB85" i="49"/>
  <c r="BB89" i="49"/>
  <c r="BB93" i="49"/>
  <c r="BB97" i="49"/>
  <c r="BB101" i="49"/>
  <c r="BB105" i="49"/>
  <c r="BB109" i="49"/>
  <c r="BB113" i="49"/>
  <c r="BB117" i="49"/>
  <c r="BB121" i="49"/>
  <c r="BB125" i="49"/>
  <c r="BB129" i="49"/>
  <c r="BB133" i="49"/>
  <c r="BB137" i="49"/>
  <c r="BB141" i="49"/>
  <c r="BB145" i="49"/>
  <c r="BB149" i="49"/>
  <c r="BB154" i="49"/>
  <c r="BB158" i="49"/>
  <c r="BB162" i="49"/>
  <c r="BB166" i="49"/>
  <c r="BB170" i="49"/>
  <c r="BB174" i="49"/>
  <c r="BB178" i="49"/>
  <c r="BB182" i="49"/>
  <c r="BB186" i="49"/>
  <c r="BB190" i="49"/>
  <c r="BB194" i="49"/>
  <c r="BB198" i="49"/>
  <c r="BB202" i="49"/>
  <c r="BB206" i="49"/>
  <c r="BB9" i="49"/>
  <c r="BB13" i="49"/>
  <c r="BB17" i="49"/>
  <c r="BB21" i="49"/>
  <c r="BB29" i="49"/>
  <c r="BB33" i="49"/>
  <c r="BB37" i="49"/>
  <c r="BB18" i="49"/>
  <c r="BB30" i="49"/>
  <c r="BB38" i="49"/>
  <c r="BB46" i="49"/>
  <c r="BB50" i="49"/>
  <c r="BB58" i="49"/>
  <c r="BB82" i="49"/>
  <c r="BB86" i="49"/>
  <c r="BB106" i="49"/>
  <c r="BB110" i="49"/>
  <c r="BB114" i="49"/>
  <c r="BB130" i="49"/>
  <c r="BB146" i="49"/>
  <c r="BB163" i="49"/>
  <c r="BB167" i="49"/>
  <c r="BB175" i="49"/>
  <c r="BB195" i="49"/>
  <c r="BB207" i="49"/>
  <c r="BB19" i="49"/>
  <c r="BB23" i="49"/>
  <c r="BB27" i="49"/>
  <c r="BB31" i="49"/>
  <c r="BB39" i="49"/>
  <c r="BB43" i="49"/>
  <c r="BB55" i="49"/>
  <c r="BB59" i="49"/>
  <c r="BB63" i="49"/>
  <c r="BB67" i="49"/>
  <c r="BB71" i="49"/>
  <c r="BB75" i="49"/>
  <c r="BB79" i="49"/>
  <c r="BB83" i="49"/>
  <c r="BB87" i="49"/>
  <c r="BB91" i="49"/>
  <c r="BB95" i="49"/>
  <c r="BB99" i="49"/>
  <c r="BB103" i="49"/>
  <c r="BB107" i="49"/>
  <c r="BB111" i="49"/>
  <c r="BB115" i="49"/>
  <c r="BB119" i="49"/>
  <c r="BB123" i="49"/>
  <c r="BB127" i="49"/>
  <c r="BB131" i="49"/>
  <c r="BB135" i="49"/>
  <c r="BB139" i="49"/>
  <c r="BB143" i="49"/>
  <c r="BB147" i="49"/>
  <c r="BB151" i="49"/>
  <c r="BB156" i="49"/>
  <c r="BB160" i="49"/>
  <c r="BB164" i="49"/>
  <c r="BB168" i="49"/>
  <c r="BB172" i="49"/>
  <c r="BB176" i="49"/>
  <c r="BB180" i="49"/>
  <c r="BB184" i="49"/>
  <c r="BB188" i="49"/>
  <c r="BB192" i="49"/>
  <c r="BB196" i="49"/>
  <c r="BB200" i="49"/>
  <c r="BB204" i="49"/>
  <c r="BB10" i="49"/>
  <c r="BB14" i="49"/>
  <c r="BB22" i="49"/>
  <c r="BB26" i="49"/>
  <c r="BB34" i="49"/>
  <c r="BB42" i="49"/>
  <c r="BB54" i="49"/>
  <c r="BB62" i="49"/>
  <c r="BB66" i="49"/>
  <c r="BB70" i="49"/>
  <c r="BB74" i="49"/>
  <c r="BB78" i="49"/>
  <c r="BB90" i="49"/>
  <c r="BB94" i="49"/>
  <c r="BB98" i="49"/>
  <c r="BB102" i="49"/>
  <c r="BB118" i="49"/>
  <c r="BB122" i="49"/>
  <c r="BB126" i="49"/>
  <c r="BB134" i="49"/>
  <c r="BB138" i="49"/>
  <c r="BB142" i="49"/>
  <c r="BB150" i="49"/>
  <c r="BB155" i="49"/>
  <c r="BB159" i="49"/>
  <c r="BB171" i="49"/>
  <c r="BB179" i="49"/>
  <c r="BB183" i="49"/>
  <c r="BB187" i="49"/>
  <c r="BB191" i="49"/>
  <c r="BB203" i="49"/>
  <c r="BB11" i="49"/>
  <c r="BB15" i="49"/>
  <c r="BB35" i="49"/>
  <c r="BB47" i="49"/>
  <c r="BB51" i="49"/>
  <c r="AV208" i="49"/>
  <c r="AX208" i="49"/>
  <c r="AZ208" i="49"/>
  <c r="AU208" i="49"/>
  <c r="BA208" i="49"/>
  <c r="AZ209" i="49" l="1"/>
  <c r="AU209" i="49"/>
  <c r="AX209" i="49"/>
  <c r="AV209" i="49"/>
  <c r="AV210" i="49" s="1"/>
  <c r="AV211" i="49" s="1"/>
  <c r="BA209" i="49"/>
  <c r="BB208" i="49"/>
  <c r="Q95" i="11"/>
  <c r="AX210" i="49" l="1"/>
  <c r="AX211" i="49" s="1"/>
  <c r="AV212" i="49"/>
  <c r="AZ210" i="49"/>
  <c r="BB209" i="49"/>
  <c r="BB210" i="49" s="1"/>
  <c r="BB211" i="49" s="1"/>
  <c r="AU210" i="49"/>
  <c r="AU211" i="49" s="1"/>
  <c r="BA210" i="49"/>
  <c r="AX212" i="49" l="1"/>
  <c r="AZ211" i="49"/>
  <c r="BB212" i="49"/>
  <c r="BB213" i="49" s="1"/>
  <c r="AV213" i="49"/>
  <c r="BA211" i="49"/>
  <c r="AU212" i="49"/>
  <c r="AV214" i="49"/>
  <c r="R49" i="11"/>
  <c r="D49" i="11"/>
  <c r="S88" i="11"/>
  <c r="S76" i="11"/>
  <c r="S75" i="11"/>
  <c r="S74" i="11"/>
  <c r="R52" i="11"/>
  <c r="BB214" i="49" l="1"/>
  <c r="BB215" i="49" s="1"/>
  <c r="BB216" i="49" s="1"/>
  <c r="BB217" i="49" s="1"/>
  <c r="BB218" i="49" s="1"/>
  <c r="BB219" i="49" s="1"/>
  <c r="BB220" i="49" s="1"/>
  <c r="BB221" i="49" s="1"/>
  <c r="BB222" i="49" s="1"/>
  <c r="BB223" i="49" s="1"/>
  <c r="BB224" i="49" s="1"/>
  <c r="BB225" i="49" s="1"/>
  <c r="BB226" i="49" s="1"/>
  <c r="BB227" i="49" s="1"/>
  <c r="BB228" i="49" s="1"/>
  <c r="BB229" i="49" s="1"/>
  <c r="BB230" i="49" s="1"/>
  <c r="BB231" i="49" s="1"/>
  <c r="BB232" i="49" s="1"/>
  <c r="BB233" i="49" s="1"/>
  <c r="BB234" i="49" s="1"/>
  <c r="BB235" i="49" s="1"/>
  <c r="BB236" i="49" s="1"/>
  <c r="BB237" i="49" s="1"/>
  <c r="BB238" i="49" s="1"/>
  <c r="BB239" i="49" s="1"/>
  <c r="BB240" i="49" s="1"/>
  <c r="BB241" i="49" s="1"/>
  <c r="BB242" i="49" s="1"/>
  <c r="BB243" i="49" s="1"/>
  <c r="BB244" i="49" s="1"/>
  <c r="BB245" i="49" s="1"/>
  <c r="BB246" i="49" s="1"/>
  <c r="BB247" i="49" s="1"/>
  <c r="BB248" i="49" s="1"/>
  <c r="BB249" i="49" s="1"/>
  <c r="BB250" i="49" s="1"/>
  <c r="BB251" i="49" s="1"/>
  <c r="BB252" i="49" s="1"/>
  <c r="BB253" i="49" s="1"/>
  <c r="BB254" i="49" s="1"/>
  <c r="BB255" i="49" s="1"/>
  <c r="AV215" i="49"/>
  <c r="AZ212" i="49"/>
  <c r="AZ213" i="49" s="1"/>
  <c r="AZ214" i="49" s="1"/>
  <c r="AZ215" i="49" s="1"/>
  <c r="AZ216" i="49" s="1"/>
  <c r="AZ217" i="49" s="1"/>
  <c r="AZ218" i="49" s="1"/>
  <c r="AZ219" i="49" s="1"/>
  <c r="AZ220" i="49" s="1"/>
  <c r="AZ221" i="49" s="1"/>
  <c r="AZ222" i="49" s="1"/>
  <c r="AZ223" i="49" s="1"/>
  <c r="AZ224" i="49" s="1"/>
  <c r="AZ225" i="49" s="1"/>
  <c r="AZ226" i="49" s="1"/>
  <c r="AZ227" i="49" s="1"/>
  <c r="AZ228" i="49" s="1"/>
  <c r="AZ229" i="49" s="1"/>
  <c r="AZ230" i="49" s="1"/>
  <c r="AZ231" i="49" s="1"/>
  <c r="AZ232" i="49" s="1"/>
  <c r="AZ233" i="49" s="1"/>
  <c r="AZ234" i="49" s="1"/>
  <c r="AZ235" i="49" s="1"/>
  <c r="AZ236" i="49" s="1"/>
  <c r="AZ237" i="49" s="1"/>
  <c r="AZ238" i="49" s="1"/>
  <c r="AZ239" i="49" s="1"/>
  <c r="AZ240" i="49" s="1"/>
  <c r="AZ241" i="49" s="1"/>
  <c r="AZ242" i="49" s="1"/>
  <c r="AZ243" i="49" s="1"/>
  <c r="AZ244" i="49" s="1"/>
  <c r="AZ245" i="49" s="1"/>
  <c r="AZ246" i="49" s="1"/>
  <c r="AZ247" i="49" s="1"/>
  <c r="AZ248" i="49" s="1"/>
  <c r="AZ249" i="49" s="1"/>
  <c r="AZ250" i="49" s="1"/>
  <c r="AZ251" i="49" s="1"/>
  <c r="AZ252" i="49" s="1"/>
  <c r="AZ253" i="49" s="1"/>
  <c r="AZ254" i="49" s="1"/>
  <c r="AZ255" i="49" s="1"/>
  <c r="BA212" i="49"/>
  <c r="BA213" i="49" s="1"/>
  <c r="BA214" i="49" s="1"/>
  <c r="BA215" i="49" s="1"/>
  <c r="BA216" i="49" s="1"/>
  <c r="BA217" i="49" s="1"/>
  <c r="BA218" i="49" s="1"/>
  <c r="BA219" i="49" s="1"/>
  <c r="BA220" i="49" s="1"/>
  <c r="BA221" i="49" s="1"/>
  <c r="BA222" i="49" s="1"/>
  <c r="BA223" i="49" s="1"/>
  <c r="BA224" i="49" s="1"/>
  <c r="BA225" i="49" s="1"/>
  <c r="BA226" i="49" s="1"/>
  <c r="BA227" i="49" s="1"/>
  <c r="BA228" i="49" s="1"/>
  <c r="BA229" i="49" s="1"/>
  <c r="BA230" i="49" s="1"/>
  <c r="BA231" i="49" s="1"/>
  <c r="BA232" i="49" s="1"/>
  <c r="BA233" i="49" s="1"/>
  <c r="BA234" i="49" s="1"/>
  <c r="BA235" i="49" s="1"/>
  <c r="BA236" i="49" s="1"/>
  <c r="BA237" i="49" s="1"/>
  <c r="BA238" i="49" s="1"/>
  <c r="BA239" i="49" s="1"/>
  <c r="BA240" i="49" s="1"/>
  <c r="BA241" i="49" s="1"/>
  <c r="BA242" i="49" s="1"/>
  <c r="BA243" i="49" s="1"/>
  <c r="BA244" i="49" s="1"/>
  <c r="BA245" i="49" s="1"/>
  <c r="BA246" i="49" s="1"/>
  <c r="BA247" i="49" s="1"/>
  <c r="BA248" i="49" s="1"/>
  <c r="BA249" i="49" s="1"/>
  <c r="BA250" i="49" s="1"/>
  <c r="BA251" i="49" s="1"/>
  <c r="BA252" i="49" s="1"/>
  <c r="BA253" i="49" s="1"/>
  <c r="BA254" i="49" s="1"/>
  <c r="BA255" i="49" s="1"/>
  <c r="AU213" i="49"/>
  <c r="AX213" i="49"/>
  <c r="AX214" i="49" s="1"/>
  <c r="AX215" i="49" s="1"/>
  <c r="AX216" i="49" s="1"/>
  <c r="AX217" i="49" s="1"/>
  <c r="AX218" i="49" s="1"/>
  <c r="AX219" i="49" s="1"/>
  <c r="AX220" i="49" s="1"/>
  <c r="AX221" i="49" s="1"/>
  <c r="AX222" i="49" s="1"/>
  <c r="AX223" i="49" s="1"/>
  <c r="AX224" i="49" s="1"/>
  <c r="AX225" i="49" s="1"/>
  <c r="AX226" i="49" s="1"/>
  <c r="AX227" i="49" s="1"/>
  <c r="AX228" i="49" s="1"/>
  <c r="AX229" i="49" s="1"/>
  <c r="AX230" i="49" s="1"/>
  <c r="AX231" i="49" s="1"/>
  <c r="AX232" i="49" s="1"/>
  <c r="AX233" i="49" s="1"/>
  <c r="AX234" i="49" s="1"/>
  <c r="AX235" i="49" s="1"/>
  <c r="AX236" i="49" s="1"/>
  <c r="AX237" i="49" s="1"/>
  <c r="AX238" i="49" s="1"/>
  <c r="AX239" i="49" s="1"/>
  <c r="AX240" i="49" s="1"/>
  <c r="AX241" i="49" s="1"/>
  <c r="AX242" i="49" s="1"/>
  <c r="AX243" i="49" s="1"/>
  <c r="AX244" i="49" s="1"/>
  <c r="AX245" i="49" s="1"/>
  <c r="AX246" i="49" s="1"/>
  <c r="AX247" i="49" s="1"/>
  <c r="AX248" i="49" s="1"/>
  <c r="AX249" i="49" s="1"/>
  <c r="AX250" i="49" s="1"/>
  <c r="AX251" i="49" s="1"/>
  <c r="AX252" i="49" s="1"/>
  <c r="AX253" i="49" s="1"/>
  <c r="AX254" i="49" s="1"/>
  <c r="AX255" i="49" s="1"/>
  <c r="R89" i="11"/>
  <c r="AV216" i="49" l="1"/>
  <c r="AV217" i="49" s="1"/>
  <c r="AV218" i="49" s="1"/>
  <c r="AV219" i="49" s="1"/>
  <c r="AV220" i="49" s="1"/>
  <c r="AV221" i="49" s="1"/>
  <c r="AV222" i="49" s="1"/>
  <c r="AV223" i="49" s="1"/>
  <c r="AV224" i="49" s="1"/>
  <c r="AV225" i="49" s="1"/>
  <c r="AV226" i="49" s="1"/>
  <c r="AV227" i="49" s="1"/>
  <c r="AV228" i="49" s="1"/>
  <c r="AV229" i="49" s="1"/>
  <c r="AV230" i="49" s="1"/>
  <c r="AV231" i="49" s="1"/>
  <c r="AV232" i="49" s="1"/>
  <c r="AV233" i="49" s="1"/>
  <c r="AV234" i="49" s="1"/>
  <c r="AV235" i="49" s="1"/>
  <c r="AV236" i="49" s="1"/>
  <c r="AV237" i="49" s="1"/>
  <c r="AV238" i="49" s="1"/>
  <c r="AV239" i="49" s="1"/>
  <c r="AV240" i="49" s="1"/>
  <c r="AV241" i="49" s="1"/>
  <c r="AV242" i="49" s="1"/>
  <c r="AV243" i="49" s="1"/>
  <c r="AV244" i="49" s="1"/>
  <c r="AV245" i="49" s="1"/>
  <c r="AV246" i="49" s="1"/>
  <c r="AV247" i="49" s="1"/>
  <c r="AV248" i="49" s="1"/>
  <c r="AV249" i="49" s="1"/>
  <c r="AV250" i="49" s="1"/>
  <c r="AV251" i="49" s="1"/>
  <c r="AV252" i="49" s="1"/>
  <c r="AV253" i="49" s="1"/>
  <c r="AV254" i="49" s="1"/>
  <c r="AV255" i="49" s="1"/>
  <c r="AU214" i="49"/>
  <c r="AU215" i="49" s="1"/>
  <c r="AU216" i="49" s="1"/>
  <c r="AU217" i="49" s="1"/>
  <c r="AU218" i="49" s="1"/>
  <c r="AU219" i="49" s="1"/>
  <c r="AU220" i="49" s="1"/>
  <c r="AU221" i="49" s="1"/>
  <c r="AU222" i="49" s="1"/>
  <c r="AU223" i="49" s="1"/>
  <c r="AU224" i="49" s="1"/>
  <c r="AU225" i="49" s="1"/>
  <c r="AU226" i="49" s="1"/>
  <c r="AU227" i="49" s="1"/>
  <c r="AU228" i="49" s="1"/>
  <c r="AU229" i="49" s="1"/>
  <c r="AU230" i="49" s="1"/>
  <c r="AU231" i="49" s="1"/>
  <c r="AU232" i="49" s="1"/>
  <c r="AU233" i="49" s="1"/>
  <c r="AU234" i="49" s="1"/>
  <c r="AU235" i="49" s="1"/>
  <c r="AU236" i="49" s="1"/>
  <c r="AU237" i="49" s="1"/>
  <c r="AU238" i="49" s="1"/>
  <c r="AU239" i="49" s="1"/>
  <c r="AU240" i="49" s="1"/>
  <c r="AU241" i="49" s="1"/>
  <c r="AU242" i="49" s="1"/>
  <c r="AU243" i="49" s="1"/>
  <c r="AU244" i="49" s="1"/>
  <c r="AU245" i="49" s="1"/>
  <c r="AU246" i="49" s="1"/>
  <c r="AU247" i="49" s="1"/>
  <c r="AU248" i="49" s="1"/>
  <c r="AU249" i="49" s="1"/>
  <c r="AU250" i="49" s="1"/>
  <c r="AU251" i="49" s="1"/>
  <c r="AU252" i="49" s="1"/>
  <c r="AU253" i="49" s="1"/>
  <c r="AU254" i="49" s="1"/>
  <c r="AU255" i="49" s="1"/>
  <c r="E112" i="11"/>
  <c r="E113" i="11" l="1"/>
  <c r="R90" i="11" l="1"/>
  <c r="E117" i="11" l="1"/>
  <c r="E118" i="11"/>
  <c r="E116" i="11" l="1"/>
  <c r="S80" i="11" l="1"/>
  <c r="S85" i="11"/>
  <c r="Q65" i="11"/>
  <c r="S66" i="11"/>
  <c r="O59" i="11"/>
  <c r="S58" i="11"/>
  <c r="S84" i="11"/>
  <c r="M59" i="11"/>
  <c r="P59" i="11"/>
  <c r="L59" i="11"/>
  <c r="N59" i="11"/>
  <c r="Q79" i="11" l="1"/>
  <c r="S72" i="11"/>
  <c r="S83" i="11"/>
  <c r="L89" i="11"/>
  <c r="F89" i="11"/>
  <c r="K89" i="11"/>
  <c r="J89" i="11"/>
  <c r="H59" i="11"/>
  <c r="G89" i="11"/>
  <c r="Q64" i="11"/>
  <c r="I89" i="11"/>
  <c r="K59" i="11"/>
  <c r="H89" i="11"/>
  <c r="I59" i="11"/>
  <c r="Q78" i="11"/>
  <c r="E121" i="11"/>
  <c r="Q63" i="11"/>
  <c r="S64" i="11"/>
  <c r="Q83" i="11"/>
  <c r="Q62" i="11"/>
  <c r="S79" i="11"/>
  <c r="Q73" i="11"/>
  <c r="S73" i="11"/>
  <c r="Q72" i="11"/>
  <c r="E110" i="11" s="1"/>
  <c r="S57" i="11"/>
  <c r="S40" i="11"/>
  <c r="Q85" i="11"/>
  <c r="S62" i="11"/>
  <c r="Q61" i="11"/>
  <c r="Q36" i="11"/>
  <c r="E119" i="11"/>
  <c r="Q56" i="11"/>
  <c r="E108" i="11"/>
  <c r="S78" i="11"/>
  <c r="S39" i="11"/>
  <c r="Q84" i="11"/>
  <c r="S65" i="11"/>
  <c r="Q39" i="11"/>
  <c r="E122" i="11"/>
  <c r="Q58" i="11"/>
  <c r="Q66" i="11"/>
  <c r="S56" i="11"/>
  <c r="Q40" i="11"/>
  <c r="S36" i="11"/>
  <c r="S61" i="11"/>
  <c r="Q80" i="11"/>
  <c r="S63" i="11"/>
  <c r="E120" i="11" l="1"/>
  <c r="E123" i="11"/>
  <c r="Q89" i="11"/>
  <c r="P49" i="11"/>
  <c r="I49" i="11"/>
  <c r="I52" i="11" s="1"/>
  <c r="I90" i="11" s="1"/>
  <c r="H49" i="11"/>
  <c r="H52" i="11" s="1"/>
  <c r="H90" i="11" s="1"/>
  <c r="E49" i="11"/>
  <c r="E52" i="11" s="1"/>
  <c r="F49" i="11"/>
  <c r="F52" i="11" s="1"/>
  <c r="F90" i="11" s="1"/>
  <c r="L49" i="11"/>
  <c r="J49" i="11"/>
  <c r="J52" i="11" s="1"/>
  <c r="M49" i="11"/>
  <c r="N49" i="11"/>
  <c r="O49" i="11"/>
  <c r="G49" i="11"/>
  <c r="G52" i="11" s="1"/>
  <c r="G90" i="11" s="1"/>
  <c r="K49" i="11"/>
  <c r="Q48" i="11"/>
  <c r="S89" i="11"/>
  <c r="E111" i="11"/>
  <c r="E114" i="11"/>
  <c r="E115" i="11"/>
  <c r="Q38" i="11"/>
  <c r="S44" i="11"/>
  <c r="Q47" i="11"/>
  <c r="Q37" i="11"/>
  <c r="S48" i="11"/>
  <c r="S47" i="11"/>
  <c r="S45" i="11"/>
  <c r="Q45" i="11"/>
  <c r="Q43" i="11"/>
  <c r="S43" i="11"/>
  <c r="S46" i="11"/>
  <c r="Q46" i="11"/>
  <c r="S38" i="11"/>
  <c r="Q44" i="11"/>
  <c r="S37" i="11"/>
  <c r="O52" i="11" l="1"/>
  <c r="O90" i="11" s="1"/>
  <c r="O91" i="11" s="1"/>
  <c r="N52" i="11"/>
  <c r="N90" i="11" s="1"/>
  <c r="N91" i="11" s="1"/>
  <c r="P52" i="11"/>
  <c r="P90" i="11" s="1"/>
  <c r="P91" i="11" s="1"/>
  <c r="M52" i="11"/>
  <c r="K52" i="11"/>
  <c r="K90" i="11" s="1"/>
  <c r="K91" i="11" s="1"/>
  <c r="L52" i="11"/>
  <c r="L90" i="11" s="1"/>
  <c r="L91" i="11" s="1"/>
  <c r="J59" i="11"/>
  <c r="J90" i="11" s="1"/>
  <c r="J91" i="11" s="1"/>
  <c r="F91" i="11"/>
  <c r="G91" i="11"/>
  <c r="I91" i="11"/>
  <c r="H91" i="11"/>
  <c r="S49" i="11"/>
  <c r="Q49" i="11"/>
  <c r="Q52" i="11" s="1"/>
  <c r="E107" i="11"/>
  <c r="S52" i="11" l="1"/>
  <c r="M90" i="11"/>
  <c r="M91" i="11" s="1"/>
  <c r="E59" i="11"/>
  <c r="E90" i="11" s="1"/>
  <c r="S55" i="11"/>
  <c r="Q55" i="11"/>
  <c r="S90" i="11" l="1"/>
  <c r="E109" i="11"/>
  <c r="E124" i="11" s="1"/>
  <c r="Q59" i="11"/>
  <c r="Q90" i="11" s="1"/>
  <c r="Q91" i="11" s="1"/>
  <c r="E91" i="11"/>
  <c r="S91" i="11" l="1"/>
  <c r="Q215" i="66" l="1"/>
  <c r="Q212" i="66"/>
  <c r="Q221" i="66"/>
  <c r="Q211" i="66"/>
  <c r="Q229" i="66"/>
  <c r="Q209" i="66"/>
  <c r="Q210" i="66"/>
  <c r="Q213" i="66"/>
  <c r="Q214" i="66"/>
  <c r="Q216" i="66"/>
  <c r="Q217" i="66"/>
  <c r="Q218" i="66"/>
  <c r="Q219" i="66"/>
  <c r="Q222" i="66"/>
  <c r="Q223" i="66"/>
  <c r="Q225" i="66"/>
  <c r="Q226" i="66"/>
  <c r="Q227" i="66"/>
  <c r="Q228" i="66"/>
  <c r="Q230" i="66"/>
  <c r="Q232" i="66"/>
  <c r="Q233" i="66"/>
  <c r="Q236" i="66"/>
  <c r="Q237" i="66"/>
  <c r="Q238" i="66"/>
  <c r="Q239" i="66"/>
  <c r="Q240" i="66"/>
  <c r="Q241" i="66"/>
  <c r="Q242" i="66"/>
  <c r="Q243" i="66"/>
  <c r="Q244" i="66"/>
  <c r="Q245" i="66"/>
  <c r="Q246" i="66"/>
  <c r="Q247" i="66"/>
  <c r="Q248" i="66"/>
  <c r="Q249" i="66"/>
  <c r="Q250" i="66"/>
  <c r="Q251" i="66"/>
  <c r="Q252" i="66"/>
  <c r="Q253" i="66"/>
  <c r="Q254" i="66"/>
  <c r="Q220" i="66"/>
  <c r="Q224" i="66"/>
  <c r="Q231" i="66"/>
  <c r="Q234" i="66"/>
  <c r="Q235" i="66"/>
  <c r="T162" i="66" l="1"/>
  <c r="AB162" i="66" s="1"/>
  <c r="Q162" i="66"/>
  <c r="T64" i="66"/>
  <c r="AB64" i="66" s="1"/>
  <c r="Q64" i="66"/>
  <c r="T201" i="66"/>
  <c r="Q201" i="66"/>
  <c r="T193" i="66"/>
  <c r="Q193" i="66"/>
  <c r="T185" i="66"/>
  <c r="AB185" i="66" s="1"/>
  <c r="Q185" i="66"/>
  <c r="T177" i="66"/>
  <c r="AB177" i="66" s="1"/>
  <c r="Q177" i="66"/>
  <c r="T170" i="66"/>
  <c r="Q170" i="66"/>
  <c r="T160" i="66"/>
  <c r="Q160" i="66"/>
  <c r="T150" i="66"/>
  <c r="AB150" i="66" s="1"/>
  <c r="Q150" i="66"/>
  <c r="T142" i="66"/>
  <c r="AB142" i="66" s="1"/>
  <c r="Q142" i="66"/>
  <c r="T131" i="66"/>
  <c r="Q131" i="66"/>
  <c r="T123" i="66"/>
  <c r="Q123" i="66"/>
  <c r="T115" i="66"/>
  <c r="AB115" i="66" s="1"/>
  <c r="Q115" i="66"/>
  <c r="T99" i="66"/>
  <c r="AB99" i="66" s="1"/>
  <c r="Q99" i="66"/>
  <c r="T91" i="66"/>
  <c r="Q91" i="66"/>
  <c r="T84" i="66"/>
  <c r="Q84" i="66"/>
  <c r="T76" i="66"/>
  <c r="AB76" i="66" s="1"/>
  <c r="Q76" i="66"/>
  <c r="T68" i="66"/>
  <c r="AB68" i="66" s="1"/>
  <c r="Q68" i="66"/>
  <c r="T50" i="66"/>
  <c r="Q50" i="66"/>
  <c r="T40" i="66"/>
  <c r="Q40" i="66"/>
  <c r="T28" i="66"/>
  <c r="AB28" i="66" s="1"/>
  <c r="Q28" i="66"/>
  <c r="T20" i="66"/>
  <c r="AB20" i="66" s="1"/>
  <c r="Q20" i="66"/>
  <c r="T11" i="66"/>
  <c r="Q11" i="66"/>
  <c r="T157" i="66"/>
  <c r="Q157" i="66"/>
  <c r="T141" i="66"/>
  <c r="AB141" i="66" s="1"/>
  <c r="Q141" i="66"/>
  <c r="T63" i="66"/>
  <c r="AB63" i="66" s="1"/>
  <c r="Q63" i="66"/>
  <c r="T200" i="66"/>
  <c r="Q200" i="66"/>
  <c r="T192" i="66"/>
  <c r="Q192" i="66"/>
  <c r="T184" i="66"/>
  <c r="AB184" i="66" s="1"/>
  <c r="Q184" i="66"/>
  <c r="T176" i="66"/>
  <c r="AB176" i="66" s="1"/>
  <c r="Q176" i="66"/>
  <c r="T169" i="66"/>
  <c r="Q169" i="66"/>
  <c r="T159" i="66"/>
  <c r="Q159" i="66"/>
  <c r="T149" i="66"/>
  <c r="AB149" i="66" s="1"/>
  <c r="Q149" i="66"/>
  <c r="T139" i="66"/>
  <c r="AB139" i="66" s="1"/>
  <c r="Q139" i="66"/>
  <c r="T130" i="66"/>
  <c r="Q130" i="66"/>
  <c r="T122" i="66"/>
  <c r="Q122" i="66"/>
  <c r="T114" i="66"/>
  <c r="AB114" i="66" s="1"/>
  <c r="Q114" i="66"/>
  <c r="T106" i="66"/>
  <c r="AB106" i="66" s="1"/>
  <c r="Q106" i="66"/>
  <c r="T98" i="66"/>
  <c r="Q98" i="66"/>
  <c r="T90" i="66"/>
  <c r="Q90" i="66"/>
  <c r="T83" i="66"/>
  <c r="AB83" i="66" s="1"/>
  <c r="Q83" i="66"/>
  <c r="T75" i="66"/>
  <c r="AB75" i="66" s="1"/>
  <c r="Q75" i="66"/>
  <c r="T60" i="66"/>
  <c r="Q60" i="66"/>
  <c r="T49" i="66"/>
  <c r="Q49" i="66"/>
  <c r="T39" i="66"/>
  <c r="AB39" i="66" s="1"/>
  <c r="Q39" i="66"/>
  <c r="T27" i="66"/>
  <c r="AB27" i="66" s="1"/>
  <c r="Q27" i="66"/>
  <c r="T19" i="66"/>
  <c r="Q19" i="66"/>
  <c r="T10" i="66"/>
  <c r="Q10" i="66"/>
  <c r="T140" i="66"/>
  <c r="AB140" i="66" s="1"/>
  <c r="Q140" i="66"/>
  <c r="T48" i="66"/>
  <c r="AB48" i="66" s="1"/>
  <c r="Q48" i="66"/>
  <c r="T199" i="66"/>
  <c r="Q199" i="66"/>
  <c r="T191" i="66"/>
  <c r="Q191" i="66"/>
  <c r="T183" i="66"/>
  <c r="AB183" i="66" s="1"/>
  <c r="Q183" i="66"/>
  <c r="T62" i="66"/>
  <c r="AB62" i="66" s="1"/>
  <c r="Q62" i="66"/>
  <c r="T167" i="66"/>
  <c r="Q167" i="66"/>
  <c r="T158" i="66"/>
  <c r="Q158" i="66"/>
  <c r="T148" i="66"/>
  <c r="AB148" i="66" s="1"/>
  <c r="Q148" i="66"/>
  <c r="T138" i="66"/>
  <c r="AB138" i="66" s="1"/>
  <c r="Q138" i="66"/>
  <c r="T129" i="66"/>
  <c r="Q129" i="66"/>
  <c r="T121" i="66"/>
  <c r="Q121" i="66"/>
  <c r="T113" i="66"/>
  <c r="AB113" i="66" s="1"/>
  <c r="Q113" i="66"/>
  <c r="T105" i="66"/>
  <c r="AB105" i="66" s="1"/>
  <c r="Q105" i="66"/>
  <c r="T97" i="66"/>
  <c r="Q97" i="66"/>
  <c r="T89" i="66"/>
  <c r="Q89" i="66"/>
  <c r="T82" i="66"/>
  <c r="AB82" i="66" s="1"/>
  <c r="Q82" i="66"/>
  <c r="T74" i="66"/>
  <c r="AB74" i="66" s="1"/>
  <c r="Q74" i="66"/>
  <c r="T58" i="66"/>
  <c r="Q58" i="66"/>
  <c r="T46" i="66"/>
  <c r="Q46" i="66"/>
  <c r="T38" i="66"/>
  <c r="AB38" i="66" s="1"/>
  <c r="Q38" i="66"/>
  <c r="T26" i="66"/>
  <c r="AB26" i="66" s="1"/>
  <c r="Q26" i="66"/>
  <c r="T18" i="66"/>
  <c r="Q18" i="66"/>
  <c r="T9" i="66"/>
  <c r="Q9" i="66"/>
  <c r="T207" i="66"/>
  <c r="AB207" i="66" s="1"/>
  <c r="Q207" i="66"/>
  <c r="T47" i="66"/>
  <c r="AB47" i="66" s="1"/>
  <c r="Q47" i="66"/>
  <c r="T208" i="66"/>
  <c r="Q208" i="66"/>
  <c r="T198" i="66"/>
  <c r="Q198" i="66"/>
  <c r="T190" i="66"/>
  <c r="AB190" i="66" s="1"/>
  <c r="Q190" i="66"/>
  <c r="T182" i="66"/>
  <c r="AB182" i="66" s="1"/>
  <c r="Q182" i="66"/>
  <c r="T175" i="66"/>
  <c r="Q175" i="66"/>
  <c r="T166" i="66"/>
  <c r="Q166" i="66"/>
  <c r="T156" i="66"/>
  <c r="AB156" i="66" s="1"/>
  <c r="Q156" i="66"/>
  <c r="T147" i="66"/>
  <c r="AB147" i="66" s="1"/>
  <c r="Q147" i="66"/>
  <c r="T137" i="66"/>
  <c r="Q137" i="66"/>
  <c r="T128" i="66"/>
  <c r="Q128" i="66"/>
  <c r="T120" i="66"/>
  <c r="AB120" i="66" s="1"/>
  <c r="Q120" i="66"/>
  <c r="T112" i="66"/>
  <c r="AB112" i="66" s="1"/>
  <c r="Q112" i="66"/>
  <c r="T104" i="66"/>
  <c r="Q104" i="66"/>
  <c r="T96" i="66"/>
  <c r="Q96" i="66"/>
  <c r="T59" i="66"/>
  <c r="AB59" i="66" s="1"/>
  <c r="Q59" i="66"/>
  <c r="T81" i="66"/>
  <c r="AB81" i="66" s="1"/>
  <c r="Q81" i="66"/>
  <c r="T73" i="66"/>
  <c r="Q73" i="66"/>
  <c r="T56" i="66"/>
  <c r="Q56" i="66"/>
  <c r="T45" i="66"/>
  <c r="AB45" i="66" s="1"/>
  <c r="Q45" i="66"/>
  <c r="T35" i="66"/>
  <c r="AB35" i="66" s="1"/>
  <c r="Q35" i="66"/>
  <c r="T25" i="66"/>
  <c r="Q25" i="66"/>
  <c r="T16" i="66"/>
  <c r="Q16" i="66"/>
  <c r="T8" i="66"/>
  <c r="AB8" i="66" s="1"/>
  <c r="Q8" i="66"/>
  <c r="T151" i="66"/>
  <c r="AB151" i="66" s="1"/>
  <c r="Q151" i="66"/>
  <c r="T57" i="66"/>
  <c r="Q57" i="66"/>
  <c r="T107" i="66"/>
  <c r="Q107" i="66"/>
  <c r="T31" i="66"/>
  <c r="AB31" i="66" s="1"/>
  <c r="Q31" i="66"/>
  <c r="T206" i="66"/>
  <c r="AB206" i="66" s="1"/>
  <c r="Q206" i="66"/>
  <c r="T197" i="66"/>
  <c r="Q197" i="66"/>
  <c r="T189" i="66"/>
  <c r="Q189" i="66"/>
  <c r="T181" i="66"/>
  <c r="AB181" i="66" s="1"/>
  <c r="Q181" i="66"/>
  <c r="T174" i="66"/>
  <c r="AB174" i="66" s="1"/>
  <c r="Q174" i="66"/>
  <c r="T165" i="66"/>
  <c r="Q165" i="66"/>
  <c r="T155" i="66"/>
  <c r="Q155" i="66"/>
  <c r="T146" i="66"/>
  <c r="AB146" i="66" s="1"/>
  <c r="Q146" i="66"/>
  <c r="T136" i="66"/>
  <c r="AB136" i="66" s="1"/>
  <c r="Q136" i="66"/>
  <c r="T127" i="66"/>
  <c r="Q127" i="66"/>
  <c r="T119" i="66"/>
  <c r="Q119" i="66"/>
  <c r="T111" i="66"/>
  <c r="AB111" i="66" s="1"/>
  <c r="Q111" i="66"/>
  <c r="T103" i="66"/>
  <c r="AB103" i="66" s="1"/>
  <c r="Q103" i="66"/>
  <c r="T95" i="66"/>
  <c r="Q95" i="66"/>
  <c r="T88" i="66"/>
  <c r="Q88" i="66"/>
  <c r="T80" i="66"/>
  <c r="AB80" i="66" s="1"/>
  <c r="Q80" i="66"/>
  <c r="T72" i="66"/>
  <c r="Q72" i="66"/>
  <c r="T55" i="66"/>
  <c r="Q55" i="66"/>
  <c r="T44" i="66"/>
  <c r="Q44" i="66"/>
  <c r="T34" i="66"/>
  <c r="AB34" i="66" s="1"/>
  <c r="Q34" i="66"/>
  <c r="T24" i="66"/>
  <c r="AB24" i="66" s="1"/>
  <c r="Q24" i="66"/>
  <c r="T15" i="66"/>
  <c r="Q15" i="66"/>
  <c r="T7" i="66"/>
  <c r="Q7" i="66"/>
  <c r="T202" i="66"/>
  <c r="Q202" i="66"/>
  <c r="T54" i="66"/>
  <c r="Q54" i="66"/>
  <c r="T67" i="66"/>
  <c r="Q67" i="66"/>
  <c r="T30" i="66"/>
  <c r="Q30" i="66"/>
  <c r="T205" i="66"/>
  <c r="Q205" i="66"/>
  <c r="T196" i="66"/>
  <c r="Q196" i="66"/>
  <c r="T188" i="66"/>
  <c r="Q188" i="66"/>
  <c r="T180" i="66"/>
  <c r="Q180" i="66"/>
  <c r="T173" i="66"/>
  <c r="Q173" i="66"/>
  <c r="T164" i="66"/>
  <c r="Q164" i="66"/>
  <c r="T154" i="66"/>
  <c r="Q154" i="66"/>
  <c r="T145" i="66"/>
  <c r="Q145" i="66"/>
  <c r="T135" i="66"/>
  <c r="Q135" i="66"/>
  <c r="T126" i="66"/>
  <c r="Q126" i="66"/>
  <c r="T118" i="66"/>
  <c r="Q118" i="66"/>
  <c r="T110" i="66"/>
  <c r="Q110" i="66"/>
  <c r="T102" i="66"/>
  <c r="Q102" i="66"/>
  <c r="T94" i="66"/>
  <c r="Q94" i="66"/>
  <c r="T87" i="66"/>
  <c r="Q87" i="66"/>
  <c r="T79" i="66"/>
  <c r="Q79" i="66"/>
  <c r="T71" i="66"/>
  <c r="Q71" i="66"/>
  <c r="T53" i="66"/>
  <c r="Q53" i="66"/>
  <c r="T43" i="66"/>
  <c r="Q43" i="66"/>
  <c r="T33" i="66"/>
  <c r="Q33" i="66"/>
  <c r="T23" i="66"/>
  <c r="Q23" i="66"/>
  <c r="T14" i="66"/>
  <c r="Q14" i="66"/>
  <c r="T66" i="66"/>
  <c r="Q66" i="66"/>
  <c r="T17" i="66"/>
  <c r="Q17" i="66"/>
  <c r="T204" i="66"/>
  <c r="Q204" i="66"/>
  <c r="T195" i="66"/>
  <c r="Q195" i="66"/>
  <c r="T187" i="66"/>
  <c r="Q187" i="66"/>
  <c r="T179" i="66"/>
  <c r="Q179" i="66"/>
  <c r="T172" i="66"/>
  <c r="Q172" i="66"/>
  <c r="T163" i="66"/>
  <c r="Q163" i="66"/>
  <c r="T153" i="66"/>
  <c r="Q153" i="66"/>
  <c r="T143" i="66"/>
  <c r="Q143" i="66"/>
  <c r="T134" i="66"/>
  <c r="Q134" i="66"/>
  <c r="T125" i="66"/>
  <c r="Q125" i="66"/>
  <c r="T117" i="66"/>
  <c r="Q117" i="66"/>
  <c r="T109" i="66"/>
  <c r="Q109" i="66"/>
  <c r="T101" i="66"/>
  <c r="Q101" i="66"/>
  <c r="T93" i="66"/>
  <c r="Q93" i="66"/>
  <c r="T86" i="66"/>
  <c r="Q86" i="66"/>
  <c r="T78" i="66"/>
  <c r="Q78" i="66"/>
  <c r="T70" i="66"/>
  <c r="Q70" i="66"/>
  <c r="T52" i="66"/>
  <c r="Q52" i="66"/>
  <c r="T42" i="66"/>
  <c r="Q42" i="66"/>
  <c r="T32" i="66"/>
  <c r="Q32" i="66"/>
  <c r="T22" i="66"/>
  <c r="Q22" i="66"/>
  <c r="T13" i="66"/>
  <c r="Q13" i="66"/>
  <c r="T168" i="66"/>
  <c r="Q168" i="66"/>
  <c r="T65" i="66"/>
  <c r="Q65" i="66"/>
  <c r="T203" i="66"/>
  <c r="Q203" i="66"/>
  <c r="T194" i="66"/>
  <c r="Q194" i="66"/>
  <c r="T186" i="66"/>
  <c r="Q186" i="66"/>
  <c r="T178" i="66"/>
  <c r="Q178" i="66"/>
  <c r="T171" i="66"/>
  <c r="Q171" i="66"/>
  <c r="T161" i="66"/>
  <c r="Q161" i="66"/>
  <c r="T152" i="66"/>
  <c r="Q152" i="66"/>
  <c r="T61" i="66"/>
  <c r="Q61" i="66"/>
  <c r="T133" i="66"/>
  <c r="Q133" i="66"/>
  <c r="T124" i="66"/>
  <c r="Q124" i="66"/>
  <c r="T116" i="66"/>
  <c r="Q116" i="66"/>
  <c r="T108" i="66"/>
  <c r="Q108" i="66"/>
  <c r="T100" i="66"/>
  <c r="Q100" i="66"/>
  <c r="T92" i="66"/>
  <c r="Q92" i="66"/>
  <c r="T85" i="66"/>
  <c r="Q85" i="66"/>
  <c r="T77" i="66"/>
  <c r="Q77" i="66"/>
  <c r="T69" i="66"/>
  <c r="Q69" i="66"/>
  <c r="T51" i="66"/>
  <c r="Q51" i="66"/>
  <c r="T41" i="66"/>
  <c r="Q41" i="66"/>
  <c r="T29" i="66"/>
  <c r="Q29" i="66"/>
  <c r="T21" i="66"/>
  <c r="AB21" i="66" s="1"/>
  <c r="Q21" i="66"/>
  <c r="T12" i="66"/>
  <c r="Q12" i="66"/>
  <c r="T144" i="66"/>
  <c r="Q144" i="66"/>
  <c r="AB55" i="66" l="1"/>
  <c r="AB127" i="66"/>
  <c r="AB197" i="66"/>
  <c r="AB25" i="66"/>
  <c r="AB104" i="66"/>
  <c r="AB175" i="66"/>
  <c r="AB18" i="66"/>
  <c r="AB58" i="66"/>
  <c r="AB97" i="66"/>
  <c r="AB129" i="66"/>
  <c r="AB167" i="66"/>
  <c r="AB19" i="66"/>
  <c r="AB60" i="66"/>
  <c r="AB98" i="66"/>
  <c r="AB130" i="66"/>
  <c r="AB169" i="66"/>
  <c r="AB200" i="66"/>
  <c r="AB11" i="66"/>
  <c r="AB50" i="66"/>
  <c r="AB91" i="66"/>
  <c r="AB131" i="66"/>
  <c r="AB170" i="66"/>
  <c r="AB201" i="66"/>
  <c r="AB15" i="66"/>
  <c r="AB95" i="66"/>
  <c r="AB165" i="66"/>
  <c r="AB57" i="66"/>
  <c r="AB73" i="66"/>
  <c r="AB137" i="66"/>
  <c r="AB208" i="66"/>
  <c r="AB199" i="66"/>
  <c r="AB144" i="66"/>
  <c r="AB85" i="66"/>
  <c r="AB44" i="66"/>
  <c r="AB119" i="66"/>
  <c r="AB189" i="66"/>
  <c r="AB16" i="66"/>
  <c r="AB96" i="66"/>
  <c r="AB166" i="66"/>
  <c r="AB198" i="66"/>
  <c r="AB9" i="66"/>
  <c r="AB46" i="66"/>
  <c r="AB121" i="66"/>
  <c r="AB158" i="66"/>
  <c r="AB191" i="66"/>
  <c r="AB10" i="66"/>
  <c r="AB49" i="66"/>
  <c r="AB90" i="66"/>
  <c r="AB122" i="66"/>
  <c r="AB159" i="66"/>
  <c r="AB192" i="66"/>
  <c r="AB157" i="66"/>
  <c r="AB40" i="66"/>
  <c r="AB84" i="66"/>
  <c r="AB123" i="66"/>
  <c r="AB160" i="66"/>
  <c r="AB193" i="66"/>
  <c r="AB41" i="66"/>
  <c r="AB88" i="66"/>
  <c r="AB155" i="66"/>
  <c r="AB107" i="66"/>
  <c r="AB56" i="66"/>
  <c r="AB128" i="66"/>
  <c r="AB89" i="66"/>
  <c r="AB116" i="66"/>
  <c r="AB152" i="66"/>
  <c r="AB186" i="66"/>
  <c r="AB168" i="66"/>
  <c r="AB42" i="66"/>
  <c r="AB86" i="66"/>
  <c r="AB117" i="66"/>
  <c r="AB153" i="66"/>
  <c r="AB187" i="66"/>
  <c r="AB66" i="66"/>
  <c r="AB33" i="66"/>
  <c r="AB79" i="66"/>
  <c r="AB110" i="66"/>
  <c r="AB145" i="66"/>
  <c r="AB180" i="66"/>
  <c r="AB30" i="66"/>
  <c r="AB7" i="66"/>
  <c r="T132" i="66"/>
  <c r="Q132" i="66"/>
  <c r="Q265" i="66" s="1"/>
  <c r="AB12" i="66"/>
  <c r="AB51" i="66"/>
  <c r="AB92" i="66"/>
  <c r="AB124" i="66"/>
  <c r="AB161" i="66"/>
  <c r="AB194" i="66"/>
  <c r="AB13" i="66"/>
  <c r="AB52" i="66"/>
  <c r="AB93" i="66"/>
  <c r="AB125" i="66"/>
  <c r="AB163" i="66"/>
  <c r="AB195" i="66"/>
  <c r="AB43" i="66"/>
  <c r="AB87" i="66"/>
  <c r="AB118" i="66"/>
  <c r="AB154" i="66"/>
  <c r="AB188" i="66"/>
  <c r="AB67" i="66"/>
  <c r="AB69" i="66"/>
  <c r="AB100" i="66"/>
  <c r="AB133" i="66"/>
  <c r="AB171" i="66"/>
  <c r="AB203" i="66"/>
  <c r="AB22" i="66"/>
  <c r="AB70" i="66"/>
  <c r="AB101" i="66"/>
  <c r="AB134" i="66"/>
  <c r="AB172" i="66"/>
  <c r="AB204" i="66"/>
  <c r="AB14" i="66"/>
  <c r="AB53" i="66"/>
  <c r="AB94" i="66"/>
  <c r="AB126" i="66"/>
  <c r="AB164" i="66"/>
  <c r="AB196" i="66"/>
  <c r="AB54" i="66"/>
  <c r="AB72" i="66"/>
  <c r="AB29" i="66"/>
  <c r="AB77" i="66"/>
  <c r="AB108" i="66"/>
  <c r="AB61" i="66"/>
  <c r="AB178" i="66"/>
  <c r="AB65" i="66"/>
  <c r="AB32" i="66"/>
  <c r="AB78" i="66"/>
  <c r="AB109" i="66"/>
  <c r="AB143" i="66"/>
  <c r="AB179" i="66"/>
  <c r="AB17" i="66"/>
  <c r="AB23" i="66"/>
  <c r="AB71" i="66"/>
  <c r="AB102" i="66"/>
  <c r="AB135" i="66"/>
  <c r="AB173" i="66"/>
  <c r="AB205" i="66"/>
  <c r="AB202" i="66"/>
  <c r="AB132" i="66" l="1"/>
  <c r="AB265" i="66"/>
  <c r="T265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tc={75E94A4C-C25E-4F7A-9789-74F397D5908B}</author>
  </authors>
  <commentList>
    <comment ref="AJ59" authorId="0" shapeId="0" xr:uid="{75E94A4C-C25E-4F7A-9789-74F397D5908B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locate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tc={66D6ECA4-6A09-4FE7-B87B-B618E1341476}</author>
    <author>tc={5D546243-3F4B-4EE7-826C-933D75525B08}</author>
  </authors>
  <commentList>
    <comment ref="AV125" authorId="0" shapeId="0" xr:uid="{66D6ECA4-6A09-4FE7-B87B-B618E1341476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  <comment ref="AV153" authorId="1" shapeId="0" xr:uid="{5D546243-3F4B-4EE7-826C-933D75525B08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tc={962A72F4-5BBE-48DE-8F56-FE9538D0869F}</author>
  </authors>
  <commentList>
    <comment ref="E41" authorId="0" shapeId="0" xr:uid="{962A72F4-5BBE-48DE-8F56-FE9538D0869F}">
      <text>
        <t>[Threaded comment]
Your version of Excel allows you to read this threaded comment; however, any edits to it will get removed if the file is opened in a newer version of Excel. Learn more: https://go.microsoft.com/fwlink/?linkid=870924
Comment:
    9/12 to be deducted in current year, remaining 3/12 to be deducted in 26/27</t>
      </text>
    </comment>
  </commentList>
</comments>
</file>

<file path=xl/sharedStrings.xml><?xml version="1.0" encoding="utf-8"?>
<sst xmlns="http://schemas.openxmlformats.org/spreadsheetml/2006/main" count="1966" uniqueCount="499">
  <si>
    <t>High Needs</t>
  </si>
  <si>
    <t>DfE #</t>
  </si>
  <si>
    <t>URN</t>
  </si>
  <si>
    <t>School</t>
  </si>
  <si>
    <t>I01</t>
  </si>
  <si>
    <t>E27</t>
  </si>
  <si>
    <t>E17</t>
  </si>
  <si>
    <t>I03</t>
  </si>
  <si>
    <t>I02</t>
  </si>
  <si>
    <t>E23</t>
  </si>
  <si>
    <t>Broadmeadow Infant School</t>
  </si>
  <si>
    <t>Broadmeadow Junior School</t>
  </si>
  <si>
    <t>Maryvale Catholic Primary School</t>
  </si>
  <si>
    <t>The Oratory Roman Catholic Primary School</t>
  </si>
  <si>
    <t>Woodthorpe Junior and Infant School</t>
  </si>
  <si>
    <t>St Ambrose Barlow Catholic Primary School</t>
  </si>
  <si>
    <t>New Oscott Primary School</t>
  </si>
  <si>
    <t>St Augustine's Catholic Primary School</t>
  </si>
  <si>
    <t>St Clare's Catholic Primary School</t>
  </si>
  <si>
    <t>St Francis Catholic Primary School</t>
  </si>
  <si>
    <t>St Teresa's Catholic Primary School</t>
  </si>
  <si>
    <t>St Vincent's Catholic Primary School</t>
  </si>
  <si>
    <t>The Meadows Primary School</t>
  </si>
  <si>
    <t>DfE Number</t>
  </si>
  <si>
    <t>Schools Name</t>
  </si>
  <si>
    <t>1. 2025/26 LA STATEMENT OF FUNDING</t>
  </si>
  <si>
    <t xml:space="preserve">LA Confirmed Funding Allocations: </t>
  </si>
  <si>
    <t>2025/26 Initial Funding Allocation</t>
  </si>
  <si>
    <t>Apr 25 Adjustments</t>
  </si>
  <si>
    <t>May 25 Adjustments</t>
  </si>
  <si>
    <t>Jun 25 Adjustments</t>
  </si>
  <si>
    <t>Jul 25 Adjustments</t>
  </si>
  <si>
    <t>Aug 25 Adjustments</t>
  </si>
  <si>
    <t>Sept 25 Adjustments</t>
  </si>
  <si>
    <t>Oct 25 Adjustments</t>
  </si>
  <si>
    <t>Nov 25 Adjustments</t>
  </si>
  <si>
    <t>Dec 25 Adjustments</t>
  </si>
  <si>
    <t>Jan 26 Adjustments</t>
  </si>
  <si>
    <t>Feb 26 Adjustments</t>
  </si>
  <si>
    <t xml:space="preserve">Mar 26 Adjustments </t>
  </si>
  <si>
    <t>Year-End Adjustments</t>
  </si>
  <si>
    <t xml:space="preserve">Total </t>
  </si>
  <si>
    <t>High Needs Place Funding</t>
  </si>
  <si>
    <t>High Needs Indicative Top up Funding*</t>
  </si>
  <si>
    <t>High Needs Indicative TPAG/TPEG</t>
  </si>
  <si>
    <t>High Needs Resource Base Place Funding</t>
  </si>
  <si>
    <t>High Needs Resource Base Top-up Funding</t>
  </si>
  <si>
    <t>EY Under 2 YO Indicative per term</t>
  </si>
  <si>
    <t>EY 2 YO Indicative per term</t>
  </si>
  <si>
    <t>EY 3-4 YO Indicative per term</t>
  </si>
  <si>
    <t>EY EYPP Indicative per term</t>
  </si>
  <si>
    <t>EY FSM Indicative per term</t>
  </si>
  <si>
    <t>EY Deprivation Indicative per term</t>
  </si>
  <si>
    <t>EY DAF Indicative per term</t>
  </si>
  <si>
    <t>Estimated funding to be paid to the school</t>
  </si>
  <si>
    <t>CFR code</t>
  </si>
  <si>
    <t>Total to date</t>
  </si>
  <si>
    <t>Estimated</t>
  </si>
  <si>
    <t>Total</t>
  </si>
  <si>
    <t>Actual</t>
  </si>
  <si>
    <t>Expected</t>
  </si>
  <si>
    <t>final adj</t>
  </si>
  <si>
    <t>Indicative High Needs Top up Funding</t>
  </si>
  <si>
    <t>High Needs Resource Base Top up Funding</t>
  </si>
  <si>
    <t>EY Under 2 YO</t>
  </si>
  <si>
    <t>EY 2 YO</t>
  </si>
  <si>
    <t>EY 3-4 YO</t>
  </si>
  <si>
    <t>EY EYPP</t>
  </si>
  <si>
    <t>EY FSM</t>
  </si>
  <si>
    <t>EY Deprivation</t>
  </si>
  <si>
    <t>EY DAF</t>
  </si>
  <si>
    <t>OTHER DSG FUNDING</t>
  </si>
  <si>
    <t>CRISP</t>
  </si>
  <si>
    <t>ESN</t>
  </si>
  <si>
    <t>Falling Rolls</t>
  </si>
  <si>
    <t>Growth Funding</t>
  </si>
  <si>
    <t>Total Other DSG Funding</t>
  </si>
  <si>
    <t>GRANTS</t>
  </si>
  <si>
    <t>Teachers' Pension Employer Contribution Grant</t>
  </si>
  <si>
    <t>Teachers' pay additional grant</t>
  </si>
  <si>
    <t>Teacher's Pension Employer Contribution (16-19) Grant</t>
  </si>
  <si>
    <t>Teachers' Pay Grant - Early Years</t>
  </si>
  <si>
    <t>Early Years Budget Grant (EYBG)</t>
  </si>
  <si>
    <t>16-19 Bursery Fund</t>
  </si>
  <si>
    <t>Post-16 Schools Budget Grant</t>
  </si>
  <si>
    <t>Core School Budget Grant (CSBG) Special</t>
  </si>
  <si>
    <t>Pupil Premium Funding (To be confirmed by DfE/EFA)</t>
  </si>
  <si>
    <t>I05</t>
  </si>
  <si>
    <t>Inclusive of Deprivation, Service Child and Post LAC.</t>
  </si>
  <si>
    <t>Senior Mental Health Leads Training Fy 24-25</t>
  </si>
  <si>
    <t>I06</t>
  </si>
  <si>
    <t>Schools Direct</t>
  </si>
  <si>
    <t>Early Career Mentor backfill grant</t>
  </si>
  <si>
    <t>Early Career Framework Mentor time off timetable</t>
  </si>
  <si>
    <t>Early Career Framework 23/24 unallocated</t>
  </si>
  <si>
    <t>National Professional Qualifications</t>
  </si>
  <si>
    <t>National Tutoring Programme Payment</t>
  </si>
  <si>
    <t>I18C</t>
  </si>
  <si>
    <t>Recovery Premium Funding 2024/25</t>
  </si>
  <si>
    <t>Recovery Premium  2/3rds March 22/23 unallocated</t>
  </si>
  <si>
    <t>National Tutoring Programme 23/24 unallocated</t>
  </si>
  <si>
    <t>PE and Sports Grant (To be confirmed by DfE/EFA)</t>
  </si>
  <si>
    <t>I18D</t>
  </si>
  <si>
    <t>Universal Infant Free School Meals 23/24 Final</t>
  </si>
  <si>
    <t>Universal Infant Free School Meals 24/25 Provisional</t>
  </si>
  <si>
    <t>LA Capital income one off payment</t>
  </si>
  <si>
    <t>CI01</t>
  </si>
  <si>
    <t>Devolved Formula Capital (To be confirmed by DfE/EFA)</t>
  </si>
  <si>
    <t>Total Other Confirmed Funding Allocations</t>
  </si>
  <si>
    <t>Final  Payment for month after all adjustments</t>
  </si>
  <si>
    <t>Adjustments to be made</t>
  </si>
  <si>
    <t>Please note that the payment schedule will be updated to reflect:</t>
  </si>
  <si>
    <t>* Updated high needs and early years funding allocations based on actual numbers</t>
  </si>
  <si>
    <t>**Actual 2024-25 salary costs</t>
  </si>
  <si>
    <t>* NNDR in budget plan for 2025/26, this is not actual bill amount, you should amend it according to your actual budget in both I01 and E17</t>
  </si>
  <si>
    <t>**** Please note VAT is paid a month in arreas. The VAT paid in April 24 is for claim relating to March 24</t>
  </si>
  <si>
    <t>The calculation of the provisional monthly instalment figure is based on confirmed LA funding allocations.</t>
  </si>
  <si>
    <t xml:space="preserve">Totals PER CFR </t>
  </si>
  <si>
    <t>Funds delegated by the local authority (LA)</t>
  </si>
  <si>
    <t>Funding for sixth form students</t>
  </si>
  <si>
    <t>High needs top-up funding</t>
  </si>
  <si>
    <t>Pupil Premium</t>
  </si>
  <si>
    <t>Other government grants</t>
  </si>
  <si>
    <t>Mayor’s Universal Free School Meals</t>
  </si>
  <si>
    <t>I07</t>
  </si>
  <si>
    <t>Income from the DfE grant scheme for reimbursing exceptional costs</t>
  </si>
  <si>
    <t>I18B</t>
  </si>
  <si>
    <t>income from the COVID-19 catch-up</t>
  </si>
  <si>
    <t>Income from other additional grants</t>
  </si>
  <si>
    <t>Capital Income</t>
  </si>
  <si>
    <t>Various Staffing expenditure CFR (Salaries)</t>
  </si>
  <si>
    <t>E01 - E07</t>
  </si>
  <si>
    <t>Payslip charges</t>
  </si>
  <si>
    <t>E08</t>
  </si>
  <si>
    <t>Professional Services Not PFI</t>
  </si>
  <si>
    <t>E16</t>
  </si>
  <si>
    <t xml:space="preserve">NNDR </t>
  </si>
  <si>
    <t>Other insurance premiums(RPA)</t>
  </si>
  <si>
    <t>Professional Services PFI</t>
  </si>
  <si>
    <t>E28b</t>
  </si>
  <si>
    <t>Bought-in professional services - curriculum(De-Delegation and ESG)</t>
  </si>
  <si>
    <t>Total CFR to date</t>
  </si>
  <si>
    <t>3. One off payments outside of schedule</t>
  </si>
  <si>
    <t xml:space="preserve">Actual </t>
  </si>
  <si>
    <t xml:space="preserve"> </t>
  </si>
  <si>
    <t>CFR</t>
  </si>
  <si>
    <t>Link to Backup</t>
  </si>
  <si>
    <t>Resource Base</t>
  </si>
  <si>
    <t>Swanshurst School</t>
  </si>
  <si>
    <t>Court Farm Primary School</t>
  </si>
  <si>
    <t>Deykin Avenue Junior and Infant School</t>
  </si>
  <si>
    <t>Paget Primary School</t>
  </si>
  <si>
    <t>St Peter's Catholic Primary School</t>
  </si>
  <si>
    <t>Story Wood School</t>
  </si>
  <si>
    <t>CFR Code</t>
  </si>
  <si>
    <t>Links to Backup</t>
  </si>
  <si>
    <t>ESN SMR</t>
  </si>
  <si>
    <t>ESN AUTMN</t>
  </si>
  <si>
    <t>ESN SPR</t>
  </si>
  <si>
    <t>CRISP SMR</t>
  </si>
  <si>
    <t>CRISP AUTMN</t>
  </si>
  <si>
    <t>CRISP UPLIFT</t>
  </si>
  <si>
    <t>CRISP SPR</t>
  </si>
  <si>
    <t>Total Check</t>
  </si>
  <si>
    <t>2025/26 Schools Grant Payment Summary</t>
  </si>
  <si>
    <t>Early Years Indicatives 25/26</t>
  </si>
  <si>
    <t>Total Allocated (Full Year)</t>
  </si>
  <si>
    <t>Under 2's Funding</t>
  </si>
  <si>
    <t>2 Year Old Funding Summer</t>
  </si>
  <si>
    <t>3&amp;4 Year Old Funding Summer</t>
  </si>
  <si>
    <t>EYPP Total for Summer</t>
  </si>
  <si>
    <t>Free School Meals Funding Summer</t>
  </si>
  <si>
    <t>DAF</t>
  </si>
  <si>
    <t>Total Delegated Indicative Funding Summer 2025/26</t>
  </si>
  <si>
    <t>80% Summer Payment</t>
  </si>
  <si>
    <t>2 Year Old Funding Autumn</t>
  </si>
  <si>
    <t>3&amp;4 Year Old Funding Autumn</t>
  </si>
  <si>
    <t>EYPP Total for Autumn</t>
  </si>
  <si>
    <t>Free School Meals Funding Autumn</t>
  </si>
  <si>
    <t>Total Delegated Indicative Funding Autumn 2025/26</t>
  </si>
  <si>
    <t>80% Autumn Payment</t>
  </si>
  <si>
    <t>2 Year Old Funding Spring</t>
  </si>
  <si>
    <t>3&amp;4 Year Old Funding Spring</t>
  </si>
  <si>
    <t>EYPP Total for Spring</t>
  </si>
  <si>
    <t>Free School Meals Funding Spring</t>
  </si>
  <si>
    <t>Total Delegated Indicative Funding Spring 2025/26</t>
  </si>
  <si>
    <t>80% Spring Payment</t>
  </si>
  <si>
    <t>Summer Deprivation</t>
  </si>
  <si>
    <t>Autumn Deprivation</t>
  </si>
  <si>
    <t>Spring Deprivation</t>
  </si>
  <si>
    <t>Summer deprivation 80%</t>
  </si>
  <si>
    <t>Autumn deprivation 80%</t>
  </si>
  <si>
    <t>Spring deprivation 80%</t>
  </si>
  <si>
    <t>Place Funding</t>
  </si>
  <si>
    <t>Top Up Funding</t>
  </si>
  <si>
    <t>TPG TPECG</t>
  </si>
  <si>
    <t>Total High Needs</t>
  </si>
  <si>
    <t>Place</t>
  </si>
  <si>
    <t>Top Up</t>
  </si>
  <si>
    <t>-</t>
  </si>
  <si>
    <t>Falling Rolls May Bulk</t>
  </si>
  <si>
    <t>Falling Rolls May-Aug</t>
  </si>
  <si>
    <t>Growth May Bulk</t>
  </si>
  <si>
    <t>Growth 
Sep25 - Mar26</t>
  </si>
  <si>
    <t>Breakfast club early adopters grant</t>
  </si>
  <si>
    <t>LA Income and Expenditure [to be paid to school/(to be paid by school)]</t>
  </si>
  <si>
    <t>Environmental Factor</t>
  </si>
  <si>
    <t>Transitional Protection factor</t>
  </si>
  <si>
    <t>Fixed Costs</t>
  </si>
  <si>
    <t>Residential funding</t>
  </si>
  <si>
    <t>2. Estimated Monthly Payment Schedule</t>
  </si>
  <si>
    <t>Total Monthly Funding</t>
  </si>
  <si>
    <t>Abbey Catholic Primary School</t>
  </si>
  <si>
    <t>Acocks Green Primary School</t>
  </si>
  <si>
    <t>Albert Bradbeer Primary Academy</t>
  </si>
  <si>
    <t>Alston Primary School</t>
  </si>
  <si>
    <t>Archbishop Ilsley Catholic School</t>
  </si>
  <si>
    <t>Arena Academy</t>
  </si>
  <si>
    <t>Ark Boulton Academy</t>
  </si>
  <si>
    <t>Ark Kings Academy</t>
  </si>
  <si>
    <t>Ark St Alban's Academy</t>
  </si>
  <si>
    <t>Ark Tindal Primary Academy</t>
  </si>
  <si>
    <t>Ark Victoria Academy</t>
  </si>
  <si>
    <t>Aston Manor Academy</t>
  </si>
  <si>
    <t>Aston Tower Community Primary School</t>
  </si>
  <si>
    <t>Aston University Engineering Academy</t>
  </si>
  <si>
    <t>Audley Primary School</t>
  </si>
  <si>
    <t>Barr View Primary &amp; Nursery Academy</t>
  </si>
  <si>
    <t>Bartley Green School</t>
  </si>
  <si>
    <t>Billesley Primary School</t>
  </si>
  <si>
    <t>Birches Green Primary School</t>
  </si>
  <si>
    <t>Birchfield Primary School</t>
  </si>
  <si>
    <t>Bishop Vesey's Grammar School</t>
  </si>
  <si>
    <t>Bishop Walsh Catholic School</t>
  </si>
  <si>
    <t>BOA Creative, Digital and Performing Arts Academy</t>
  </si>
  <si>
    <t>BOA Digital Technologies Academy</t>
  </si>
  <si>
    <t>BOA Stage and Screen Production Academy</t>
  </si>
  <si>
    <t>Bordesley Village Primary School</t>
  </si>
  <si>
    <t>Bournville School</t>
  </si>
  <si>
    <t>Brays School</t>
  </si>
  <si>
    <t>Broadway Academy</t>
  </si>
  <si>
    <t>Brookfields Primary School</t>
  </si>
  <si>
    <t>Brookvale Primary School</t>
  </si>
  <si>
    <t>Brownmead Primary Academy</t>
  </si>
  <si>
    <t>Calthorpe Academy</t>
  </si>
  <si>
    <t>Canterbury Cross Primary School</t>
  </si>
  <si>
    <t>Cedars Academy</t>
  </si>
  <si>
    <t>Chandos Primary School</t>
  </si>
  <si>
    <t>Chilwell Croft Academy</t>
  </si>
  <si>
    <t>Chivenor Primary School</t>
  </si>
  <si>
    <t>Christ Church, Church of England Secondary Academy</t>
  </si>
  <si>
    <t>City Academy</t>
  </si>
  <si>
    <t>City Road Primary School</t>
  </si>
  <si>
    <t>Cockshut Hill School</t>
  </si>
  <si>
    <t>Colmers Farm Primary School</t>
  </si>
  <si>
    <t>Conway Primary School</t>
  </si>
  <si>
    <t>Cottesbrooke Infant and Nursery School</t>
  </si>
  <si>
    <t>Cromwell Junior and Infant School</t>
  </si>
  <si>
    <t>Dame Elizabeth Cadbury School</t>
  </si>
  <si>
    <t>Dorrington Academy</t>
  </si>
  <si>
    <t>E-ACT Heartlands Academy</t>
  </si>
  <si>
    <t>E-ACT Nechells Academy</t>
  </si>
  <si>
    <t>E-ACT North Birmingham Academy</t>
  </si>
  <si>
    <t>E-ACT Shenley Academy</t>
  </si>
  <si>
    <t>East Birmingham Network Academy</t>
  </si>
  <si>
    <t>Ebn Academy 2</t>
  </si>
  <si>
    <t>Eden Boys' Leadership Academy, Birmingham East</t>
  </si>
  <si>
    <t>Eden Boys' School, Birmingham</t>
  </si>
  <si>
    <t>Eden Girls' Leadership Academy, Birmingham</t>
  </si>
  <si>
    <t>Erdington Academy</t>
  </si>
  <si>
    <t>Erdington Hall Primary School</t>
  </si>
  <si>
    <t>Fairfax</t>
  </si>
  <si>
    <t>Fairway Primary Academy</t>
  </si>
  <si>
    <t>Firs Primary School</t>
  </si>
  <si>
    <t>Fortis Academy</t>
  </si>
  <si>
    <t>Four Dwellings Academy</t>
  </si>
  <si>
    <t>Four Dwellings Primary Academy</t>
  </si>
  <si>
    <t>George Dixon Academy</t>
  </si>
  <si>
    <t>Gossey Lane Academy</t>
  </si>
  <si>
    <t>Green Meadow Primary School</t>
  </si>
  <si>
    <t>Greenholm Primary School</t>
  </si>
  <si>
    <t>Greenwood Academy</t>
  </si>
  <si>
    <t>Greet Primary School</t>
  </si>
  <si>
    <t>Grestone Academy</t>
  </si>
  <si>
    <t>Guardian Angels Catholic Primary School</t>
  </si>
  <si>
    <t>Hall Green School</t>
  </si>
  <si>
    <t>Hallmoor School</t>
  </si>
  <si>
    <t>Hamstead Hall Academy</t>
  </si>
  <si>
    <t>Harborne Academy</t>
  </si>
  <si>
    <t>Hawkesley Church Primary Academy</t>
  </si>
  <si>
    <t>Heath Mount Primary School</t>
  </si>
  <si>
    <t>Heathfield Primary School</t>
  </si>
  <si>
    <t>Heathlands Primary Academy</t>
  </si>
  <si>
    <t>Highfield Junior and Infant School</t>
  </si>
  <si>
    <t>Highters Heath Community School</t>
  </si>
  <si>
    <t>Hill West Primary School</t>
  </si>
  <si>
    <t>Hillcrest School and Sixth Form Centre</t>
  </si>
  <si>
    <t>Hillstone Primary School</t>
  </si>
  <si>
    <t>Hodge Hill Primary School</t>
  </si>
  <si>
    <t>Holland House Infant School and Nursery</t>
  </si>
  <si>
    <t>Hollywood Primary School</t>
  </si>
  <si>
    <t>Holy Cross Catholic Primary School</t>
  </si>
  <si>
    <t>Holy Souls Catholic Primary School</t>
  </si>
  <si>
    <t>Holy Trinity Catholic School</t>
  </si>
  <si>
    <t>Holy Trinity CE Primary Academy (Handsworth)</t>
  </si>
  <si>
    <t>Holyhead School</t>
  </si>
  <si>
    <t>James Brindley School</t>
  </si>
  <si>
    <t>Jervoise School</t>
  </si>
  <si>
    <t>Jewellery Quarter Academy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</si>
  <si>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</si>
  <si>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</si>
  <si>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</si>
  <si>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</si>
  <si>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Five Ways School</t>
  </si>
  <si>
    <t>King Edward VI Handsworth Grammar School for Boys</t>
  </si>
  <si>
    <t>King Edward VI Handsworth School for Girls</t>
  </si>
  <si>
    <t>King Edward VI Handsworth Wood Girls' Academy</t>
  </si>
  <si>
    <t>King Edward VI King's Norton School for Boys</t>
  </si>
  <si>
    <t>King Edward VI Lordswood School for Girls</t>
  </si>
  <si>
    <t>King Edward VI Northfield School for Girls</t>
  </si>
  <si>
    <t>King Edward VI Sheldon Heath Academy</t>
  </si>
  <si>
    <t>Kings Norton Girls' School</t>
  </si>
  <si>
    <t>Kings Norton Primary</t>
  </si>
  <si>
    <t>Kings Rise Academy</t>
  </si>
  <si>
    <t>Lakey Lane Primary School</t>
  </si>
  <si>
    <t>Lea Forest Primary Academy</t>
  </si>
  <si>
    <t>Lea Hall Academy</t>
  </si>
  <si>
    <t>Leigh Primary School</t>
  </si>
  <si>
    <t>Leycroft Academy</t>
  </si>
  <si>
    <t>Lordswood Boys' School</t>
  </si>
  <si>
    <t>Manor Park Primary Academy</t>
  </si>
  <si>
    <t>Mansfield Green E-ACT Academy</t>
  </si>
  <si>
    <t>Marlborough Primary School</t>
  </si>
  <si>
    <t>Mayfield School</t>
  </si>
  <si>
    <t>Mere Green Primary School</t>
  </si>
  <si>
    <t>Merritts Brook Primary E-ACT Academy</t>
  </si>
  <si>
    <t>Montgomery Primary Academy</t>
  </si>
  <si>
    <t>Moor Green Primary Academy</t>
  </si>
  <si>
    <t>Nansen Primary School</t>
  </si>
  <si>
    <t>Ninestiles, an Academy</t>
  </si>
  <si>
    <t>Nishkam High School</t>
  </si>
  <si>
    <t>Nishkam Primary School Birmingham</t>
  </si>
  <si>
    <t>Nonsuch Primary School</t>
  </si>
  <si>
    <t>Northfield Manor Primary Academy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</si>
  <si>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</si>
  <si>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</si>
  <si>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</si>
  <si>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</si>
  <si>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</si>
  <si>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</si>
  <si>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Oasis Academy Short Heath</t>
  </si>
  <si>
    <t>Oasis Academy Wattville</t>
  </si>
  <si>
    <t>Oasis Academy Woodview</t>
  </si>
  <si>
    <t>Osborne Primary School</t>
  </si>
  <si>
    <t>Our Lady of Fatima Catholic Primary School</t>
  </si>
  <si>
    <t>Our Lady's Catholic Primary School</t>
  </si>
  <si>
    <t>Paganel Primary School</t>
  </si>
  <si>
    <t>Parkfield Community School</t>
  </si>
  <si>
    <t>Pegasus Primary School</t>
  </si>
  <si>
    <t>Percy Shurmer Academy</t>
  </si>
  <si>
    <t>Plantsbrook School</t>
  </si>
  <si>
    <t>Prince Albert High School</t>
  </si>
  <si>
    <t>Prince Albert Primary School</t>
  </si>
  <si>
    <t>Princethorpe Infant School</t>
  </si>
  <si>
    <t>Princethorpe Junior School</t>
  </si>
  <si>
    <t>Queensbury School</t>
  </si>
  <si>
    <t>Quinton Church Primary School</t>
  </si>
  <si>
    <t>Reach School</t>
  </si>
  <si>
    <t>Reaside Academy</t>
  </si>
  <si>
    <t>Robin Hood Academy</t>
  </si>
  <si>
    <t>Rockwood Academy</t>
  </si>
  <si>
    <t>Rookery School</t>
  </si>
  <si>
    <t>Sacred Heart Catholic School</t>
  </si>
  <si>
    <t>Saint Barnabas Church of England Primary School</t>
  </si>
  <si>
    <t>Saltley Academy</t>
  </si>
  <si>
    <t>Slade Primary School</t>
  </si>
  <si>
    <t>Small Heath Leadership Academy</t>
  </si>
  <si>
    <t>Springfield Primary Academy</t>
  </si>
  <si>
    <t>SS Mary and John Catholic Primary School</t>
  </si>
  <si>
    <t>SS Peter and Paul Catholic Primary School</t>
  </si>
  <si>
    <t>St Brigid's Catholic Primary School</t>
  </si>
  <si>
    <t>St Chad's Catholic Primary School</t>
  </si>
  <si>
    <t>St Clement's Church of England Academy</t>
  </si>
  <si>
    <t>St Columba's Catholic Primary School</t>
  </si>
  <si>
    <t>St Edmund Campion Catholic School</t>
  </si>
  <si>
    <t>St Francis Church of England Aided Primary School and Nursery</t>
  </si>
  <si>
    <t>St George's Church of England Academy, Newtown</t>
  </si>
  <si>
    <t>St George's Church of England Primary School</t>
  </si>
  <si>
    <t>St James Catholic Primary School</t>
  </si>
  <si>
    <t>St John Fisher Catholic Primary School</t>
  </si>
  <si>
    <t>St John's &amp; St Peter's CofE Primary</t>
  </si>
  <si>
    <t>St John's CofE Primary School</t>
  </si>
  <si>
    <t>St Joseph's Catholic Primary School (B30)</t>
  </si>
  <si>
    <t>St Joseph's Catholic Primary School (B7)</t>
  </si>
  <si>
    <t>St Joseph's Catholic Primary School (B75)</t>
  </si>
  <si>
    <t>St Mark's Catholic Primary School</t>
  </si>
  <si>
    <t>St Marys C of E Primary and Nursery, Academy, Handsworth</t>
  </si>
  <si>
    <t>St Michael's Church of England Primary School</t>
  </si>
  <si>
    <t>St Michael's CofE Primary Academy, Handsworth</t>
  </si>
  <si>
    <t>St Nicholas Catholic Primary School</t>
  </si>
  <si>
    <t>St Paul's Catholic Primary School</t>
  </si>
  <si>
    <t>St Thomas Aquinas Catholic School</t>
  </si>
  <si>
    <t>St Thomas Church of England Primary School</t>
  </si>
  <si>
    <t>St Thomas More Catholic Primary School</t>
  </si>
  <si>
    <t>St Wilfrid's Catholic Junior and Infant School</t>
  </si>
  <si>
    <t>Star King Solomon Academy</t>
  </si>
  <si>
    <t>Starbank School</t>
  </si>
  <si>
    <t>Stirchley Primary School</t>
  </si>
  <si>
    <t>Stockland Green School</t>
  </si>
  <si>
    <t>Summerfield Primary School</t>
  </si>
  <si>
    <t>Sutton Coldfield Grammar School for Girls</t>
  </si>
  <si>
    <t>Sutton Park Primary</t>
  </si>
  <si>
    <t>Tame Valley Academy</t>
  </si>
  <si>
    <t>The Arthur Terry School</t>
  </si>
  <si>
    <t>The Bridge School</t>
  </si>
  <si>
    <t>The Deanery Church of England Primary School</t>
  </si>
  <si>
    <t>The Edge Academy</t>
  </si>
  <si>
    <t>The Oaklands Primary School</t>
  </si>
  <si>
    <t>The Oaks Primary School</t>
  </si>
  <si>
    <t>The Olive School, Birmingham</t>
  </si>
  <si>
    <t>The Olive School, Small Heath</t>
  </si>
  <si>
    <t>The Orchards Primary Academy</t>
  </si>
  <si>
    <t>The Oval School</t>
  </si>
  <si>
    <t>The Rosary Catholic Primary School</t>
  </si>
  <si>
    <t>The Royal Sutton School</t>
  </si>
  <si>
    <t>The Shirestone Academy</t>
  </si>
  <si>
    <t>The University of Birmingham School</t>
  </si>
  <si>
    <t>Tile Cross Academy</t>
  </si>
  <si>
    <t>Timberley Academy</t>
  </si>
  <si>
    <t>Titan Aston Academy</t>
  </si>
  <si>
    <t>Titan St Georges Academy</t>
  </si>
  <si>
    <t>Tiverton Academy</t>
  </si>
  <si>
    <t>Topcliffe Primary School</t>
  </si>
  <si>
    <t>Town Junior School</t>
  </si>
  <si>
    <t>Turves Green Boys' School</t>
  </si>
  <si>
    <t>Turves Green Primary School</t>
  </si>
  <si>
    <t>Twickenham Primary School</t>
  </si>
  <si>
    <t>Warren Farm Primary School</t>
  </si>
  <si>
    <t>Washwood Heath Academy</t>
  </si>
  <si>
    <t>Waverley School</t>
  </si>
  <si>
    <t>Waverley Studio College</t>
  </si>
  <si>
    <t>Westminster Primary School</t>
  </si>
  <si>
    <t>Wilson Stuart School</t>
  </si>
  <si>
    <t>Woodhouse Primary Academy</t>
  </si>
  <si>
    <t>Wychall Primary School</t>
  </si>
  <si>
    <t>Wyndcliffe Primary School</t>
  </si>
  <si>
    <t>Yardleys School</t>
  </si>
  <si>
    <t>Yarnfield Primary School</t>
  </si>
  <si>
    <t>Yenton Primary School</t>
  </si>
  <si>
    <t>Yew Tree Community Junior and Infant School (NC)</t>
  </si>
  <si>
    <t>Select School</t>
  </si>
  <si>
    <t>URN Number</t>
  </si>
  <si>
    <t>2025/26 LA Statement of Funding and Provisional Payment Schedule</t>
  </si>
  <si>
    <t xml:space="preserve">Payments without additional funding </t>
  </si>
  <si>
    <t>Clawback 5/12</t>
  </si>
  <si>
    <t>High Needs Resource Base Clawback</t>
  </si>
  <si>
    <t>Growth 
May25 - Aug26</t>
  </si>
  <si>
    <t>Inyear academy conversions</t>
  </si>
  <si>
    <t>25/26 Academy Conversions</t>
  </si>
  <si>
    <t>2025/26 Schools High Needs Indicative</t>
  </si>
  <si>
    <t>2025/26 Schools Early Years Indicative</t>
  </si>
  <si>
    <t>2025/26 Other DSG Payment Summary</t>
  </si>
  <si>
    <t>Ealy Years maintained schools payment v1.xlsx</t>
  </si>
  <si>
    <t xml:space="preserve"> Cells Q51 + Q58</t>
  </si>
  <si>
    <t>Resource Base Jul Adjustment</t>
  </si>
  <si>
    <t>Core School Budget Grant Special</t>
  </si>
  <si>
    <t>ADJUSTMENT TO INDICATIVE</t>
  </si>
  <si>
    <t>ACTUAL FUNDING ADJUSTMENT</t>
  </si>
  <si>
    <t>Deprivation</t>
  </si>
  <si>
    <t>Total Delegated Indicative Adjustment to Actuals Funding Summer 2025/26</t>
  </si>
  <si>
    <t>Total Delegated Adjustment Payment Funding Summer 2025/26</t>
  </si>
  <si>
    <t>SUMMER ACTUALS</t>
  </si>
  <si>
    <t>ACTUALS</t>
  </si>
  <si>
    <t>Total Delegated Actual Funding Summer 2025/26</t>
  </si>
  <si>
    <t>Early Years Expansion Grant</t>
  </si>
  <si>
    <t>EY Expansion</t>
  </si>
  <si>
    <t>Other Adjustments</t>
  </si>
  <si>
    <t>2025/26 Other Adjustments Summary</t>
  </si>
  <si>
    <t>Calthorpe Energy Charge (Lillian de Lissa)</t>
  </si>
  <si>
    <t>Resource Base Oct Adjustment</t>
  </si>
  <si>
    <t>New RB</t>
  </si>
  <si>
    <t>James Brindley 8% Uplift</t>
  </si>
  <si>
    <t>High Needs Oct Adjustment</t>
  </si>
  <si>
    <t>Oscott Manor School</t>
  </si>
  <si>
    <t>Core School Budget Grant Special Sep</t>
  </si>
  <si>
    <t>Oscott Manor Conversion Place</t>
  </si>
  <si>
    <t>Oscott Manor Conversion TopUp</t>
  </si>
  <si>
    <t>Oscott Manor Conversion TPG</t>
  </si>
  <si>
    <t>Place Adjustment</t>
  </si>
  <si>
    <t>High Needs Nov Adjustment</t>
  </si>
  <si>
    <t>Top Up Adjustment</t>
  </si>
  <si>
    <t>Resource Base Nov Adjustment</t>
  </si>
  <si>
    <t>Core School Budget Grant Special Oct</t>
  </si>
  <si>
    <t>,0,0)</t>
  </si>
  <si>
    <t>TPAG Mar25</t>
  </si>
  <si>
    <t>TPECG Mar25</t>
  </si>
  <si>
    <t>TPECG Special March 2025 Correction</t>
  </si>
  <si>
    <t>TPAG Special March 2025 Correction</t>
  </si>
  <si>
    <t>As at 01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</si>
</sst>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[$€-2]* #,##0.00_-;\-[$€-2]* #,##0.00_-;_-[$€-2]* &quot;-&quot;??_-"/>
    <numFmt numFmtId="168" formatCode="_(&quot;£&quot;* #,##0.00_);_(&quot;£&quot;* \(#,##0.00\);_(&quot;£&quot;* &quot;-&quot;??_);_(@_)"/>
    <numFmt numFmtId="169" formatCode="#,##0;\(#,##0\)"/>
    <numFmt numFmtId="170" formatCode="_-* #,##0_-;* \(#,##0\)_-;_-* &quot;-&quot;_-;_-@_-"/>
    <numFmt numFmtId="171" formatCode="&quot; &quot;#,##0.00&quot; &quot;;&quot;-&quot;#,##0.00&quot; &quot;;&quot; -&quot;00&quot; &quot;;&quot; &quot;@&quot; &quot;"/>
    <numFmt numFmtId="172" formatCode="#,##0.00_ ;[Red]\-#,##0.00\ "/>
    <numFmt numFmtId="173" formatCode="#,##0.00;[Red]\(#,##0.00\)"/>
    <numFmt numFmtId="174" formatCode="#,##0;[Red]\(#,##0\)"/>
    <numFmt numFmtId="175" formatCode="#,##0.00_ ;[Red]\(#,##0.00\)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sz val="11"/>
      <name val="Myriad Pro Light"/>
      <family val="2"/>
    </font>
    <font>
      <sz val="12"/>
      <color theme="1"/>
      <name val="Arial"/>
      <family val="2"/>
    </font>
    <font>
      <sz val="10"/>
      <color indexed="21"/>
      <name val="System"/>
      <family val="2"/>
    </font>
    <font>
      <i/>
      <sz val="11"/>
      <color indexed="23"/>
      <name val="Calibri"/>
      <family val="2"/>
    </font>
    <font>
      <sz val="9"/>
      <color indexed="18"/>
      <name val="Arial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18"/>
      <name val="System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i/>
      <sz val="10"/>
      <color indexed="17"/>
      <name val="System"/>
      <family val="2"/>
    </font>
    <font>
      <sz val="11"/>
      <color indexed="60"/>
      <name val="Calibri"/>
      <family val="2"/>
    </font>
    <font>
      <sz val="12"/>
      <name val="Helv"/>
    </font>
    <font>
      <sz val="8"/>
      <color indexed="72"/>
      <name val="MS Sans Serif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sz val="10"/>
      <color indexed="14"/>
      <name val="System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17"/>
      <name val="System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sz val="12"/>
      <color indexed="9"/>
      <name val="Arial"/>
      <family val="2"/>
    </font>
    <font>
      <sz val="12"/>
      <color theme="0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9"/>
      <color indexed="12"/>
      <name val="Times New Roman"/>
      <family val="1"/>
    </font>
    <font>
      <u/>
      <sz val="10"/>
      <color theme="11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7.5"/>
      <color indexed="12"/>
      <name val="Arial"/>
      <family val="2"/>
    </font>
    <font>
      <u/>
      <sz val="10"/>
      <color rgb="FF0000FF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2"/>
      <name val="Myriad Pro"/>
      <family val="2"/>
    </font>
    <font>
      <sz val="8"/>
      <color rgb="FF000000"/>
      <name val="MS Sans Serif"/>
      <family val="2"/>
    </font>
    <font>
      <sz val="10"/>
      <color indexed="8"/>
      <name val="Arial"/>
      <family val="2"/>
    </font>
    <font>
      <sz val="8"/>
      <color theme="1"/>
      <name val="Arial Narrow"/>
      <family val="2"/>
    </font>
    <font>
      <sz val="10"/>
      <name val="Tahoma"/>
      <family val="2"/>
    </font>
    <font>
      <b/>
      <sz val="12"/>
      <color indexed="63"/>
      <name val="Arial"/>
      <family val="2"/>
    </font>
    <font>
      <b/>
      <sz val="18"/>
      <color indexed="8"/>
      <name val="Cambria"/>
      <family val="1"/>
    </font>
    <font>
      <b/>
      <sz val="9"/>
      <name val="Times New Roman"/>
      <family val="1"/>
    </font>
    <font>
      <sz val="12"/>
      <color indexed="10"/>
      <name val="Arial"/>
      <family val="2"/>
    </font>
    <font>
      <i/>
      <sz val="11"/>
      <color theme="1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b/>
      <u/>
      <sz val="10"/>
      <color indexed="8"/>
      <name val="Tahoma"/>
      <family val="2"/>
    </font>
    <font>
      <sz val="10"/>
      <name val="Courier"/>
      <family val="3"/>
    </font>
    <font>
      <sz val="10"/>
      <name val="MS Sans Serif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9C65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name val="Arial"/>
      <family val="2"/>
    </font>
    <font>
      <sz val="12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EB9C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007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3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4" applyNumberFormat="0" applyAlignment="0" applyProtection="0"/>
    <xf numFmtId="0" fontId="12" fillId="0" borderId="0" applyNumberFormat="0" applyFont="0" applyFill="0" applyBorder="0" applyProtection="0">
      <alignment horizontal="centerContinuous" wrapText="1"/>
    </xf>
    <xf numFmtId="0" fontId="13" fillId="22" borderId="5" applyNumberFormat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" fontId="18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19" fillId="5" borderId="0" applyNumberFormat="0" applyBorder="0" applyAlignment="0" applyProtection="0"/>
    <xf numFmtId="0" fontId="20" fillId="0" borderId="0">
      <alignment horizontal="center" vertical="center" wrapText="1"/>
    </xf>
    <xf numFmtId="0" fontId="21" fillId="0" borderId="6">
      <alignment horizontal="center" vertical="center" wrapText="1"/>
    </xf>
    <xf numFmtId="0" fontId="20" fillId="0" borderId="0">
      <alignment horizontal="left" wrapText="1"/>
    </xf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" fontId="27" fillId="0" borderId="0" applyNumberFormat="0" applyFill="0" applyBorder="0" applyAlignment="0" applyProtection="0"/>
    <xf numFmtId="0" fontId="28" fillId="8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29" fillId="0" borderId="10" applyNumberFormat="0" applyFill="0" applyAlignment="0" applyProtection="0"/>
    <xf numFmtId="10" fontId="30" fillId="0" borderId="11" applyFill="0" applyAlignment="0" applyProtection="0">
      <protection locked="0"/>
    </xf>
    <xf numFmtId="0" fontId="31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34" fillId="0" borderId="0"/>
    <xf numFmtId="0" fontId="7" fillId="0" borderId="0"/>
    <xf numFmtId="0" fontId="6" fillId="0" borderId="0"/>
    <xf numFmtId="0" fontId="15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 applyNumberFormat="0" applyFont="0" applyFill="0" applyBorder="0" applyAlignment="0" applyProtection="0"/>
    <xf numFmtId="0" fontId="14" fillId="0" borderId="0"/>
    <xf numFmtId="0" fontId="6" fillId="0" borderId="0"/>
    <xf numFmtId="0" fontId="3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3" fontId="21" fillId="0" borderId="0">
      <alignment horizontal="right"/>
    </xf>
    <xf numFmtId="0" fontId="37" fillId="21" borderId="13" applyNumberFormat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1" fontId="38" fillId="0" borderId="14" applyNumberFormat="0" applyFill="0" applyBorder="0" applyAlignment="0" applyProtection="0"/>
    <xf numFmtId="0" fontId="6" fillId="0" borderId="0"/>
    <xf numFmtId="0" fontId="21" fillId="0" borderId="15" applyBorder="0">
      <alignment horizontal="right"/>
    </xf>
    <xf numFmtId="164" fontId="6" fillId="0" borderId="0"/>
    <xf numFmtId="164" fontId="6" fillId="0" borderId="0"/>
    <xf numFmtId="164" fontId="6" fillId="0" borderId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" fillId="0" borderId="0"/>
    <xf numFmtId="0" fontId="1" fillId="0" borderId="0"/>
    <xf numFmtId="0" fontId="50" fillId="0" borderId="0"/>
    <xf numFmtId="9" fontId="6" fillId="0" borderId="0" applyFont="0" applyFill="0" applyBorder="0" applyAlignment="0" applyProtection="0"/>
    <xf numFmtId="0" fontId="6" fillId="0" borderId="0"/>
    <xf numFmtId="0" fontId="51" fillId="27" borderId="0" applyNumberFormat="0" applyFont="0" applyBorder="0" applyAlignment="0" applyProtection="0"/>
    <xf numFmtId="0" fontId="51" fillId="28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9" borderId="0" applyNumberFormat="0" applyFont="0" applyBorder="0" applyAlignment="0" applyProtection="0"/>
    <xf numFmtId="0" fontId="51" fillId="30" borderId="0" applyNumberFormat="0" applyFont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51" fillId="0" borderId="0" applyNumberFormat="0" applyBorder="0" applyProtection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34" fillId="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34" borderId="0" applyNumberFormat="0" applyBorder="0" applyAlignment="0" applyProtection="0"/>
    <xf numFmtId="0" fontId="34" fillId="10" borderId="0" applyNumberFormat="0" applyBorder="0" applyAlignment="0" applyProtection="0"/>
    <xf numFmtId="0" fontId="1" fillId="35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3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5" fillId="32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6" fillId="4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57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58" fillId="22" borderId="5" applyNumberFormat="0" applyAlignment="0" applyProtection="0"/>
    <xf numFmtId="0" fontId="13" fillId="22" borderId="5" applyNumberFormat="0" applyAlignment="0" applyProtection="0"/>
    <xf numFmtId="0" fontId="59" fillId="31" borderId="28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1" fillId="0" borderId="0">
      <alignment horizontal="left"/>
    </xf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42" fontId="3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5" borderId="0" applyNumberFormat="0" applyBorder="0" applyAlignment="0" applyProtection="0"/>
    <xf numFmtId="0" fontId="19" fillId="5" borderId="0" applyNumberFormat="0" applyBorder="0" applyAlignment="0" applyProtection="0"/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9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72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73" fillId="0" borderId="10" applyNumberFormat="0" applyFill="0" applyAlignment="0" applyProtection="0"/>
    <xf numFmtId="0" fontId="74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75" fillId="0" borderId="0"/>
    <xf numFmtId="0" fontId="34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1" fillId="0" borderId="0"/>
    <xf numFmtId="0" fontId="34" fillId="0" borderId="0"/>
    <xf numFmtId="0" fontId="15" fillId="0" borderId="0"/>
    <xf numFmtId="0" fontId="1" fillId="0" borderId="0"/>
    <xf numFmtId="0" fontId="51" fillId="0" borderId="0" applyNumberFormat="0" applyFont="0" applyBorder="0" applyProtection="0"/>
    <xf numFmtId="0" fontId="6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15" fillId="0" borderId="0"/>
    <xf numFmtId="0" fontId="33" fillId="0" borderId="0" applyAlignment="0">
      <alignment vertical="top" wrapText="1"/>
      <protection locked="0"/>
    </xf>
    <xf numFmtId="0" fontId="1" fillId="0" borderId="0"/>
    <xf numFmtId="0" fontId="76" fillId="0" borderId="0" applyNumberForma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>
      <alignment vertical="top"/>
    </xf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50" fillId="0" borderId="0"/>
    <xf numFmtId="0" fontId="1" fillId="0" borderId="0"/>
    <xf numFmtId="0" fontId="50" fillId="0" borderId="0"/>
    <xf numFmtId="0" fontId="3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4" fillId="0" borderId="0"/>
    <xf numFmtId="0" fontId="34" fillId="0" borderId="0"/>
    <xf numFmtId="0" fontId="7" fillId="0" borderId="0"/>
    <xf numFmtId="0" fontId="15" fillId="0" borderId="0"/>
    <xf numFmtId="0" fontId="7" fillId="0" borderId="0"/>
    <xf numFmtId="0" fontId="6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0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5" fillId="0" borderId="0"/>
    <xf numFmtId="0" fontId="15" fillId="0" borderId="0"/>
    <xf numFmtId="0" fontId="1" fillId="0" borderId="0"/>
    <xf numFmtId="0" fontId="34" fillId="0" borderId="0"/>
    <xf numFmtId="0" fontId="6" fillId="0" borderId="0"/>
    <xf numFmtId="0" fontId="6" fillId="0" borderId="0"/>
    <xf numFmtId="0" fontId="36" fillId="0" borderId="0"/>
    <xf numFmtId="0" fontId="15" fillId="0" borderId="0"/>
    <xf numFmtId="0" fontId="6" fillId="0" borderId="0"/>
    <xf numFmtId="0" fontId="78" fillId="0" borderId="0"/>
    <xf numFmtId="0" fontId="6" fillId="0" borderId="0"/>
    <xf numFmtId="0" fontId="79" fillId="0" borderId="0"/>
    <xf numFmtId="0" fontId="6" fillId="0" borderId="0"/>
    <xf numFmtId="0" fontId="60" fillId="0" borderId="0"/>
    <xf numFmtId="0" fontId="34" fillId="0" borderId="0"/>
    <xf numFmtId="0" fontId="1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4" fontId="61" fillId="0" borderId="0">
      <alignment horizontal="right"/>
    </xf>
    <xf numFmtId="0" fontId="61" fillId="0" borderId="0">
      <alignment horizontal="left"/>
    </xf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3" fontId="21" fillId="0" borderId="0">
      <alignment horizontal="right"/>
    </xf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80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" fillId="0" borderId="0"/>
    <xf numFmtId="0" fontId="6" fillId="0" borderId="0"/>
    <xf numFmtId="0" fontId="35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62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4" fontId="82" fillId="0" borderId="29">
      <alignment horizontal="right"/>
    </xf>
    <xf numFmtId="0" fontId="82" fillId="0" borderId="29">
      <alignment horizontal="left"/>
    </xf>
    <xf numFmtId="0" fontId="8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1" fontId="86" fillId="0" borderId="0"/>
    <xf numFmtId="0" fontId="6" fillId="0" borderId="0" applyBorder="0"/>
    <xf numFmtId="39" fontId="87" fillId="0" borderId="0"/>
    <xf numFmtId="40" fontId="88" fillId="0" borderId="0" applyFont="0" applyFill="0" applyBorder="0" applyAlignment="0" applyProtection="0"/>
    <xf numFmtId="0" fontId="6" fillId="38" borderId="12"/>
    <xf numFmtId="172" fontId="6" fillId="39" borderId="12"/>
    <xf numFmtId="39" fontId="87" fillId="0" borderId="0"/>
    <xf numFmtId="0" fontId="1" fillId="0" borderId="0"/>
    <xf numFmtId="0" fontId="1" fillId="0" borderId="0"/>
    <xf numFmtId="0" fontId="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1" fontId="86" fillId="0" borderId="0"/>
    <xf numFmtId="1" fontId="86" fillId="0" borderId="0"/>
    <xf numFmtId="0" fontId="6" fillId="0" borderId="0" applyBorder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14" fillId="0" borderId="0"/>
    <xf numFmtId="0" fontId="6" fillId="0" borderId="0"/>
    <xf numFmtId="0" fontId="50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1" fillId="42" borderId="0" applyNumberFormat="0" applyBorder="0" applyAlignment="0" applyProtection="0"/>
    <xf numFmtId="0" fontId="55" fillId="41" borderId="0" applyNumberFormat="0" applyBorder="0" applyAlignment="0" applyProtection="0"/>
    <xf numFmtId="0" fontId="92" fillId="0" borderId="0"/>
    <xf numFmtId="0" fontId="1" fillId="0" borderId="0"/>
    <xf numFmtId="0" fontId="97" fillId="0" borderId="0"/>
  </cellStyleXfs>
  <cellXfs count="302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166" fontId="0" fillId="0" borderId="0" xfId="1" applyNumberFormat="1" applyFont="1" applyFill="1" applyBorder="1"/>
    <xf numFmtId="0" fontId="3" fillId="0" borderId="0" xfId="0" applyFont="1"/>
    <xf numFmtId="0" fontId="44" fillId="0" borderId="0" xfId="0" applyFont="1"/>
    <xf numFmtId="0" fontId="0" fillId="0" borderId="19" xfId="0" applyBorder="1"/>
    <xf numFmtId="0" fontId="2" fillId="0" borderId="20" xfId="0" applyFont="1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/>
    <xf numFmtId="0" fontId="0" fillId="0" borderId="0" xfId="0" applyAlignment="1">
      <alignment horizontal="center"/>
    </xf>
    <xf numFmtId="0" fontId="47" fillId="0" borderId="0" xfId="0" applyFont="1"/>
    <xf numFmtId="0" fontId="46" fillId="0" borderId="0" xfId="0" applyFont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4" fillId="0" borderId="20" xfId="0" applyFont="1" applyBorder="1"/>
    <xf numFmtId="0" fontId="2" fillId="0" borderId="22" xfId="0" applyFont="1" applyBorder="1" applyAlignment="1">
      <alignment horizontal="center" vertical="center" wrapText="1"/>
    </xf>
    <xf numFmtId="17" fontId="46" fillId="0" borderId="1" xfId="0" applyNumberFormat="1" applyFont="1" applyBorder="1" applyAlignment="1">
      <alignment horizontal="center" vertical="center" wrapText="1"/>
    </xf>
    <xf numFmtId="166" fontId="47" fillId="0" borderId="1" xfId="1" applyNumberFormat="1" applyFont="1" applyBorder="1" applyAlignment="1">
      <alignment vertical="center" wrapText="1"/>
    </xf>
    <xf numFmtId="170" fontId="47" fillId="0" borderId="1" xfId="1" applyNumberFormat="1" applyFont="1" applyBorder="1" applyAlignment="1">
      <alignment vertical="center" wrapText="1"/>
    </xf>
    <xf numFmtId="43" fontId="0" fillId="0" borderId="0" xfId="0" applyNumberFormat="1"/>
    <xf numFmtId="17" fontId="46" fillId="0" borderId="0" xfId="0" applyNumberFormat="1" applyFont="1" applyAlignment="1">
      <alignment horizontal="center" vertical="center" wrapText="1"/>
    </xf>
    <xf numFmtId="166" fontId="47" fillId="0" borderId="1" xfId="0" applyNumberFormat="1" applyFont="1" applyBorder="1"/>
    <xf numFmtId="0" fontId="46" fillId="0" borderId="0" xfId="0" applyFont="1" applyAlignment="1">
      <alignment vertical="center" wrapText="1"/>
    </xf>
    <xf numFmtId="166" fontId="47" fillId="0" borderId="1" xfId="1" applyNumberFormat="1" applyFont="1" applyFill="1" applyBorder="1" applyAlignment="1">
      <alignment vertical="center" wrapText="1"/>
    </xf>
    <xf numFmtId="0" fontId="44" fillId="0" borderId="1" xfId="0" applyFont="1" applyBorder="1"/>
    <xf numFmtId="166" fontId="46" fillId="0" borderId="1" xfId="0" applyNumberFormat="1" applyFont="1" applyBorder="1"/>
    <xf numFmtId="0" fontId="47" fillId="0" borderId="1" xfId="0" applyFont="1" applyBorder="1" applyAlignment="1">
      <alignment wrapText="1"/>
    </xf>
    <xf numFmtId="43" fontId="0" fillId="0" borderId="0" xfId="1" applyFont="1"/>
    <xf numFmtId="44" fontId="0" fillId="0" borderId="0" xfId="0" applyNumberFormat="1"/>
    <xf numFmtId="0" fontId="89" fillId="0" borderId="39" xfId="0" applyFont="1" applyBorder="1" applyProtection="1">
      <protection hidden="1"/>
    </xf>
    <xf numFmtId="0" fontId="47" fillId="0" borderId="43" xfId="0" applyFont="1" applyBorder="1" applyProtection="1">
      <protection hidden="1"/>
    </xf>
    <xf numFmtId="0" fontId="47" fillId="0" borderId="45" xfId="0" applyFont="1" applyBorder="1" applyProtection="1">
      <protection hidden="1"/>
    </xf>
    <xf numFmtId="0" fontId="47" fillId="0" borderId="35" xfId="0" applyFont="1" applyBorder="1" applyProtection="1">
      <protection hidden="1"/>
    </xf>
    <xf numFmtId="0" fontId="85" fillId="0" borderId="3" xfId="0" applyFont="1" applyBorder="1"/>
    <xf numFmtId="173" fontId="0" fillId="0" borderId="0" xfId="0" applyNumberFormat="1"/>
    <xf numFmtId="0" fontId="2" fillId="0" borderId="0" xfId="0" applyFont="1" applyAlignment="1">
      <alignment horizontal="right"/>
    </xf>
    <xf numFmtId="43" fontId="0" fillId="0" borderId="1" xfId="1" applyFont="1" applyBorder="1"/>
    <xf numFmtId="0" fontId="46" fillId="40" borderId="1" xfId="0" applyFont="1" applyFill="1" applyBorder="1"/>
    <xf numFmtId="0" fontId="46" fillId="43" borderId="1" xfId="0" applyFont="1" applyFill="1" applyBorder="1"/>
    <xf numFmtId="0" fontId="85" fillId="40" borderId="47" xfId="0" applyFont="1" applyFill="1" applyBorder="1"/>
    <xf numFmtId="173" fontId="0" fillId="0" borderId="0" xfId="0" applyNumberFormat="1" applyAlignment="1">
      <alignment horizontal="center"/>
    </xf>
    <xf numFmtId="173" fontId="46" fillId="0" borderId="1" xfId="0" applyNumberFormat="1" applyFont="1" applyBorder="1" applyAlignment="1" applyProtection="1">
      <alignment horizontal="center" vertical="center" wrapText="1"/>
      <protection hidden="1"/>
    </xf>
    <xf numFmtId="173" fontId="0" fillId="0" borderId="0" xfId="1" applyNumberFormat="1" applyFont="1"/>
    <xf numFmtId="173" fontId="47" fillId="0" borderId="1" xfId="1" applyNumberFormat="1" applyFont="1" applyBorder="1" applyProtection="1">
      <protection hidden="1"/>
    </xf>
    <xf numFmtId="173" fontId="46" fillId="43" borderId="1" xfId="1" applyNumberFormat="1" applyFont="1" applyFill="1" applyBorder="1" applyProtection="1">
      <protection hidden="1"/>
    </xf>
    <xf numFmtId="173" fontId="0" fillId="0" borderId="0" xfId="1" applyNumberFormat="1" applyFont="1" applyAlignment="1">
      <alignment horizontal="center"/>
    </xf>
    <xf numFmtId="173" fontId="46" fillId="40" borderId="1" xfId="1" applyNumberFormat="1" applyFont="1" applyFill="1" applyBorder="1" applyProtection="1">
      <protection hidden="1"/>
    </xf>
    <xf numFmtId="173" fontId="46" fillId="0" borderId="25" xfId="1" applyNumberFormat="1" applyFont="1" applyBorder="1"/>
    <xf numFmtId="173" fontId="47" fillId="0" borderId="0" xfId="1" applyNumberFormat="1" applyFont="1" applyBorder="1"/>
    <xf numFmtId="173" fontId="3" fillId="0" borderId="0" xfId="1" applyNumberFormat="1" applyFont="1"/>
    <xf numFmtId="173" fontId="3" fillId="0" borderId="20" xfId="1" applyNumberFormat="1" applyFont="1" applyBorder="1"/>
    <xf numFmtId="173" fontId="0" fillId="0" borderId="20" xfId="1" applyNumberFormat="1" applyFont="1" applyBorder="1"/>
    <xf numFmtId="173" fontId="0" fillId="0" borderId="21" xfId="0" applyNumberFormat="1" applyBorder="1"/>
    <xf numFmtId="173" fontId="0" fillId="0" borderId="15" xfId="1" applyNumberFormat="1" applyFont="1" applyBorder="1"/>
    <xf numFmtId="173" fontId="0" fillId="0" borderId="23" xfId="0" applyNumberFormat="1" applyBorder="1"/>
    <xf numFmtId="173" fontId="46" fillId="0" borderId="17" xfId="1" applyNumberFormat="1" applyFont="1" applyBorder="1" applyAlignment="1">
      <alignment horizontal="center" vertical="center" wrapText="1"/>
    </xf>
    <xf numFmtId="173" fontId="46" fillId="0" borderId="27" xfId="0" applyNumberFormat="1" applyFont="1" applyBorder="1" applyAlignment="1">
      <alignment horizontal="center" vertical="center" wrapText="1"/>
    </xf>
    <xf numFmtId="173" fontId="2" fillId="0" borderId="0" xfId="0" applyNumberFormat="1" applyFont="1" applyAlignment="1">
      <alignment horizontal="center" vertical="center" wrapText="1"/>
    </xf>
    <xf numFmtId="173" fontId="47" fillId="0" borderId="1" xfId="1" applyNumberFormat="1" applyFont="1" applyBorder="1"/>
    <xf numFmtId="173" fontId="47" fillId="0" borderId="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Border="1" applyAlignment="1">
      <alignment horizontal="right" vertical="center" wrapText="1"/>
    </xf>
    <xf numFmtId="173" fontId="47" fillId="0" borderId="17" xfId="1" applyNumberFormat="1" applyFont="1" applyBorder="1" applyAlignment="1">
      <alignment horizontal="right" vertical="center" wrapText="1"/>
    </xf>
    <xf numFmtId="173" fontId="46" fillId="0" borderId="27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>
      <alignment horizontal="right" vertical="center" wrapText="1"/>
    </xf>
    <xf numFmtId="173" fontId="2" fillId="0" borderId="0" xfId="2" applyNumberFormat="1" applyFont="1" applyFill="1" applyBorder="1" applyAlignment="1">
      <alignment horizontal="center" vertical="center" wrapText="1"/>
    </xf>
    <xf numFmtId="173" fontId="46" fillId="43" borderId="1" xfId="1" applyNumberFormat="1" applyFont="1" applyFill="1" applyBorder="1"/>
    <xf numFmtId="173" fontId="46" fillId="43" borderId="1" xfId="1" applyNumberFormat="1" applyFont="1" applyFill="1" applyBorder="1" applyAlignment="1">
      <alignment horizontal="right" vertical="center" wrapText="1"/>
    </xf>
    <xf numFmtId="173" fontId="46" fillId="43" borderId="17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Border="1"/>
    <xf numFmtId="173" fontId="46" fillId="0" borderId="1" xfId="1" applyNumberFormat="1" applyFont="1" applyBorder="1" applyAlignment="1">
      <alignment horizontal="right" vertical="center" wrapText="1"/>
    </xf>
    <xf numFmtId="173" fontId="46" fillId="0" borderId="23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 applyProtection="1">
      <alignment horizontal="right" wrapText="1"/>
      <protection hidden="1"/>
    </xf>
    <xf numFmtId="173" fontId="46" fillId="40" borderId="48" xfId="1" applyNumberFormat="1" applyFont="1" applyFill="1" applyBorder="1"/>
    <xf numFmtId="173" fontId="46" fillId="40" borderId="48" xfId="1" applyNumberFormat="1" applyFont="1" applyFill="1" applyBorder="1" applyAlignment="1" applyProtection="1">
      <alignment horizontal="right" vertical="center" wrapText="1"/>
      <protection hidden="1"/>
    </xf>
    <xf numFmtId="173" fontId="46" fillId="40" borderId="38" xfId="1" applyNumberFormat="1" applyFont="1" applyFill="1" applyBorder="1" applyAlignment="1" applyProtection="1">
      <alignment horizontal="right" vertical="center" wrapText="1"/>
      <protection hidden="1"/>
    </xf>
    <xf numFmtId="173" fontId="46" fillId="0" borderId="3" xfId="1" applyNumberFormat="1" applyFont="1" applyBorder="1"/>
    <xf numFmtId="173" fontId="46" fillId="0" borderId="3" xfId="1" applyNumberFormat="1" applyFont="1" applyBorder="1" applyAlignment="1">
      <alignment horizontal="right" vertical="center" wrapText="1"/>
    </xf>
    <xf numFmtId="173" fontId="46" fillId="0" borderId="4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Fill="1" applyBorder="1" applyAlignment="1">
      <alignment horizontal="right" vertical="center" wrapText="1"/>
    </xf>
    <xf numFmtId="173" fontId="47" fillId="0" borderId="1" xfId="1" applyNumberFormat="1" applyFont="1" applyBorder="1" applyAlignment="1" applyProtection="1">
      <alignment horizontal="right" vertical="center" wrapText="1"/>
      <protection hidden="1"/>
    </xf>
    <xf numFmtId="173" fontId="47" fillId="0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3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0" borderId="1" xfId="1" applyNumberFormat="1" applyFont="1" applyFill="1" applyBorder="1"/>
    <xf numFmtId="173" fontId="46" fillId="40" borderId="1" xfId="1" applyNumberFormat="1" applyFont="1" applyFill="1" applyBorder="1" applyAlignment="1">
      <alignment horizontal="right" vertical="center" wrapText="1"/>
    </xf>
    <xf numFmtId="173" fontId="47" fillId="43" borderId="1" xfId="1" applyNumberFormat="1" applyFont="1" applyFill="1" applyBorder="1"/>
    <xf numFmtId="173" fontId="47" fillId="43" borderId="1" xfId="1" applyNumberFormat="1" applyFont="1" applyFill="1" applyBorder="1" applyAlignment="1" applyProtection="1">
      <alignment horizontal="right" vertical="center" wrapText="1"/>
      <protection hidden="1"/>
    </xf>
    <xf numFmtId="173" fontId="47" fillId="43" borderId="1" xfId="1" applyNumberFormat="1" applyFont="1" applyFill="1" applyBorder="1" applyAlignment="1">
      <alignment horizontal="right" vertical="center" wrapText="1"/>
    </xf>
    <xf numFmtId="173" fontId="49" fillId="0" borderId="23" xfId="0" applyNumberFormat="1" applyFont="1" applyBorder="1"/>
    <xf numFmtId="173" fontId="46" fillId="0" borderId="42" xfId="1" applyNumberFormat="1" applyFont="1" applyBorder="1" applyProtection="1">
      <protection hidden="1"/>
    </xf>
    <xf numFmtId="173" fontId="46" fillId="0" borderId="42" xfId="1" applyNumberFormat="1" applyFont="1" applyBorder="1" applyAlignment="1" applyProtection="1">
      <alignment horizontal="right" vertical="center" wrapText="1"/>
    </xf>
    <xf numFmtId="173" fontId="46" fillId="0" borderId="44" xfId="1" applyNumberFormat="1" applyFont="1" applyBorder="1" applyProtection="1">
      <protection hidden="1"/>
    </xf>
    <xf numFmtId="173" fontId="46" fillId="0" borderId="44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Protection="1">
      <protection hidden="1"/>
    </xf>
    <xf numFmtId="173" fontId="46" fillId="0" borderId="36" xfId="1" applyNumberFormat="1" applyFont="1" applyBorder="1" applyProtection="1">
      <protection hidden="1"/>
    </xf>
    <xf numFmtId="173" fontId="46" fillId="0" borderId="36" xfId="1" applyNumberFormat="1" applyFont="1" applyBorder="1" applyAlignment="1" applyProtection="1">
      <alignment horizontal="right" vertical="center" wrapText="1"/>
      <protection hidden="1"/>
    </xf>
    <xf numFmtId="173" fontId="0" fillId="0" borderId="25" xfId="0" applyNumberFormat="1" applyBorder="1"/>
    <xf numFmtId="173" fontId="0" fillId="0" borderId="26" xfId="0" applyNumberFormat="1" applyBorder="1"/>
    <xf numFmtId="173" fontId="47" fillId="0" borderId="1" xfId="1" applyNumberFormat="1" applyFont="1" applyBorder="1" applyAlignment="1" applyProtection="1">
      <alignment horizontal="right"/>
      <protection hidden="1"/>
    </xf>
    <xf numFmtId="173" fontId="46" fillId="43" borderId="1" xfId="1" applyNumberFormat="1" applyFont="1" applyFill="1" applyBorder="1" applyAlignment="1" applyProtection="1">
      <alignment horizontal="right"/>
      <protection hidden="1"/>
    </xf>
    <xf numFmtId="173" fontId="46" fillId="40" borderId="1" xfId="1" applyNumberFormat="1" applyFont="1" applyFill="1" applyBorder="1" applyAlignment="1" applyProtection="1">
      <alignment horizontal="right"/>
      <protection hidden="1"/>
    </xf>
    <xf numFmtId="173" fontId="46" fillId="0" borderId="25" xfId="1" applyNumberFormat="1" applyFont="1" applyBorder="1" applyAlignment="1">
      <alignment horizontal="right"/>
    </xf>
    <xf numFmtId="173" fontId="47" fillId="0" borderId="0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right"/>
    </xf>
    <xf numFmtId="173" fontId="0" fillId="0" borderId="20" xfId="1" applyNumberFormat="1" applyFont="1" applyBorder="1" applyAlignment="1">
      <alignment horizontal="right"/>
    </xf>
    <xf numFmtId="173" fontId="3" fillId="0" borderId="0" xfId="1" applyNumberFormat="1" applyFont="1" applyBorder="1"/>
    <xf numFmtId="173" fontId="0" fillId="0" borderId="0" xfId="1" applyNumberFormat="1" applyFont="1" applyBorder="1" applyAlignment="1">
      <alignment horizontal="right"/>
    </xf>
    <xf numFmtId="173" fontId="0" fillId="0" borderId="23" xfId="1" applyNumberFormat="1" applyFont="1" applyBorder="1"/>
    <xf numFmtId="173" fontId="0" fillId="0" borderId="0" xfId="1" applyNumberFormat="1" applyFont="1" applyBorder="1"/>
    <xf numFmtId="173" fontId="49" fillId="0" borderId="0" xfId="1" applyNumberFormat="1" applyFont="1" applyBorder="1" applyAlignment="1">
      <alignment horizontal="right"/>
    </xf>
    <xf numFmtId="173" fontId="93" fillId="25" borderId="0" xfId="1" applyNumberFormat="1" applyFont="1" applyFill="1" applyBorder="1" applyAlignment="1">
      <alignment horizontal="center" vertical="center" wrapText="1"/>
    </xf>
    <xf numFmtId="0" fontId="84" fillId="0" borderId="0" xfId="0" applyFont="1"/>
    <xf numFmtId="173" fontId="84" fillId="0" borderId="0" xfId="1" applyNumberFormat="1" applyFont="1" applyBorder="1" applyAlignment="1">
      <alignment horizontal="right"/>
    </xf>
    <xf numFmtId="173" fontId="48" fillId="0" borderId="0" xfId="1" applyNumberFormat="1" applyFont="1" applyBorder="1" applyAlignment="1">
      <alignment horizontal="center" vertical="center" wrapText="1"/>
    </xf>
    <xf numFmtId="173" fontId="49" fillId="0" borderId="0" xfId="1" applyNumberFormat="1" applyFont="1" applyBorder="1"/>
    <xf numFmtId="173" fontId="0" fillId="0" borderId="0" xfId="1" applyNumberFormat="1" applyFont="1" applyFill="1"/>
    <xf numFmtId="0" fontId="95" fillId="0" borderId="0" xfId="0" applyFont="1"/>
    <xf numFmtId="0" fontId="9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 wrapText="1"/>
    </xf>
    <xf numFmtId="9" fontId="2" fillId="0" borderId="0" xfId="2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43" fontId="47" fillId="0" borderId="1" xfId="1" applyFont="1" applyBorder="1" applyAlignment="1" applyProtection="1">
      <alignment horizontal="right"/>
      <protection hidden="1"/>
    </xf>
    <xf numFmtId="174" fontId="0" fillId="0" borderId="0" xfId="1" applyNumberFormat="1" applyFont="1" applyBorder="1" applyAlignment="1">
      <alignment horizontal="right"/>
    </xf>
    <xf numFmtId="173" fontId="47" fillId="0" borderId="26" xfId="1" applyNumberFormat="1" applyFont="1" applyBorder="1"/>
    <xf numFmtId="173" fontId="2" fillId="0" borderId="0" xfId="0" applyNumberFormat="1" applyFont="1" applyAlignment="1">
      <alignment horizontal="left" vertical="center"/>
    </xf>
    <xf numFmtId="173" fontId="47" fillId="0" borderId="25" xfId="1" applyNumberFormat="1" applyFont="1" applyBorder="1"/>
    <xf numFmtId="173" fontId="46" fillId="0" borderId="37" xfId="0" applyNumberFormat="1" applyFont="1" applyBorder="1" applyAlignment="1">
      <alignment vertical="center" wrapText="1"/>
    </xf>
    <xf numFmtId="173" fontId="0" fillId="0" borderId="37" xfId="1" applyNumberFormat="1" applyFont="1" applyBorder="1" applyAlignment="1">
      <alignment horizontal="right"/>
    </xf>
    <xf numFmtId="173" fontId="47" fillId="0" borderId="25" xfId="1" applyNumberFormat="1" applyFont="1" applyBorder="1" applyAlignment="1">
      <alignment horizontal="right"/>
    </xf>
    <xf numFmtId="0" fontId="96" fillId="0" borderId="0" xfId="0" applyFont="1"/>
    <xf numFmtId="17" fontId="46" fillId="0" borderId="1" xfId="1" applyNumberFormat="1" applyFont="1" applyFill="1" applyBorder="1" applyAlignment="1" applyProtection="1">
      <alignment horizontal="center" vertical="center" wrapText="1"/>
    </xf>
    <xf numFmtId="173" fontId="46" fillId="0" borderId="3" xfId="1" applyNumberFormat="1" applyFont="1" applyFill="1" applyBorder="1" applyAlignment="1" applyProtection="1">
      <alignment horizontal="center" vertical="center" wrapText="1"/>
    </xf>
    <xf numFmtId="173" fontId="46" fillId="0" borderId="1" xfId="1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47" xfId="0" applyFont="1" applyBorder="1"/>
    <xf numFmtId="0" fontId="2" fillId="0" borderId="48" xfId="0" applyFont="1" applyBorder="1"/>
    <xf numFmtId="0" fontId="2" fillId="0" borderId="38" xfId="0" applyFont="1" applyBorder="1"/>
    <xf numFmtId="0" fontId="2" fillId="0" borderId="46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43" fontId="0" fillId="0" borderId="1" xfId="0" applyNumberFormat="1" applyBorder="1"/>
    <xf numFmtId="43" fontId="0" fillId="0" borderId="3" xfId="0" applyNumberFormat="1" applyBorder="1" applyAlignment="1">
      <alignment vertical="center" wrapText="1"/>
    </xf>
    <xf numFmtId="0" fontId="2" fillId="0" borderId="52" xfId="0" applyFont="1" applyBorder="1" applyAlignment="1">
      <alignment horizontal="center" vertical="top" wrapText="1"/>
    </xf>
    <xf numFmtId="44" fontId="0" fillId="0" borderId="1" xfId="0" applyNumberForma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31" xfId="0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43" fontId="0" fillId="0" borderId="3" xfId="0" applyNumberFormat="1" applyBorder="1"/>
    <xf numFmtId="44" fontId="0" fillId="0" borderId="3" xfId="0" applyNumberFormat="1" applyBorder="1" applyAlignment="1">
      <alignment vertical="center" wrapText="1"/>
    </xf>
    <xf numFmtId="43" fontId="0" fillId="0" borderId="34" xfId="0" applyNumberFormat="1" applyBorder="1"/>
    <xf numFmtId="172" fontId="0" fillId="0" borderId="1" xfId="0" applyNumberFormat="1" applyBorder="1"/>
    <xf numFmtId="0" fontId="98" fillId="0" borderId="1" xfId="0" applyFont="1" applyBorder="1"/>
    <xf numFmtId="172" fontId="0" fillId="0" borderId="0" xfId="0" applyNumberFormat="1"/>
    <xf numFmtId="173" fontId="46" fillId="40" borderId="17" xfId="1" applyNumberFormat="1" applyFont="1" applyFill="1" applyBorder="1" applyAlignment="1">
      <alignment horizontal="center" vertical="center" wrapText="1"/>
    </xf>
    <xf numFmtId="173" fontId="46" fillId="40" borderId="17" xfId="1" applyNumberFormat="1" applyFont="1" applyFill="1" applyBorder="1" applyAlignment="1">
      <alignment horizontal="right" vertical="center" wrapText="1"/>
    </xf>
    <xf numFmtId="43" fontId="0" fillId="0" borderId="31" xfId="1" applyFont="1" applyBorder="1"/>
    <xf numFmtId="0" fontId="0" fillId="48" borderId="19" xfId="0" applyFill="1" applyBorder="1"/>
    <xf numFmtId="0" fontId="0" fillId="48" borderId="20" xfId="0" applyFill="1" applyBorder="1"/>
    <xf numFmtId="0" fontId="45" fillId="48" borderId="20" xfId="0" applyFont="1" applyFill="1" applyBorder="1" applyProtection="1">
      <protection hidden="1"/>
    </xf>
    <xf numFmtId="0" fontId="0" fillId="48" borderId="20" xfId="0" applyFill="1" applyBorder="1" applyProtection="1">
      <protection hidden="1"/>
    </xf>
    <xf numFmtId="0" fontId="0" fillId="48" borderId="21" xfId="0" applyFill="1" applyBorder="1" applyProtection="1">
      <protection hidden="1"/>
    </xf>
    <xf numFmtId="0" fontId="0" fillId="48" borderId="22" xfId="0" applyFill="1" applyBorder="1"/>
    <xf numFmtId="0" fontId="0" fillId="48" borderId="0" xfId="0" applyFill="1"/>
    <xf numFmtId="0" fontId="0" fillId="48" borderId="0" xfId="0" applyFill="1" applyProtection="1">
      <protection hidden="1"/>
    </xf>
    <xf numFmtId="0" fontId="0" fillId="48" borderId="23" xfId="0" applyFill="1" applyBorder="1" applyProtection="1">
      <protection hidden="1"/>
    </xf>
    <xf numFmtId="0" fontId="0" fillId="48" borderId="24" xfId="0" applyFill="1" applyBorder="1"/>
    <xf numFmtId="0" fontId="2" fillId="48" borderId="25" xfId="0" applyFont="1" applyFill="1" applyBorder="1"/>
    <xf numFmtId="0" fontId="0" fillId="48" borderId="25" xfId="0" applyFill="1" applyBorder="1"/>
    <xf numFmtId="0" fontId="0" fillId="48" borderId="26" xfId="0" applyFill="1" applyBorder="1"/>
    <xf numFmtId="0" fontId="46" fillId="0" borderId="0" xfId="0" applyFont="1"/>
    <xf numFmtId="173" fontId="46" fillId="0" borderId="0" xfId="1" applyNumberFormat="1" applyFont="1" applyFill="1" applyBorder="1" applyProtection="1">
      <protection hidden="1"/>
    </xf>
    <xf numFmtId="173" fontId="46" fillId="0" borderId="0" xfId="1" applyNumberFormat="1" applyFont="1" applyFill="1" applyBorder="1" applyAlignment="1" applyProtection="1">
      <alignment horizontal="right"/>
      <protection hidden="1"/>
    </xf>
    <xf numFmtId="173" fontId="47" fillId="0" borderId="1" xfId="1" applyNumberFormat="1" applyFont="1" applyFill="1" applyBorder="1"/>
    <xf numFmtId="0" fontId="26" fillId="0" borderId="1" xfId="3967" applyBorder="1"/>
    <xf numFmtId="4" fontId="0" fillId="0" borderId="1" xfId="1" applyNumberFormat="1" applyFont="1" applyBorder="1"/>
    <xf numFmtId="4" fontId="0" fillId="0" borderId="1" xfId="0" applyNumberFormat="1" applyBorder="1"/>
    <xf numFmtId="0" fontId="99" fillId="48" borderId="20" xfId="0" applyFont="1" applyFill="1" applyBorder="1"/>
    <xf numFmtId="0" fontId="3" fillId="48" borderId="20" xfId="0" applyFont="1" applyFill="1" applyBorder="1"/>
    <xf numFmtId="0" fontId="99" fillId="48" borderId="0" xfId="0" applyFont="1" applyFill="1"/>
    <xf numFmtId="0" fontId="3" fillId="48" borderId="0" xfId="0" applyFont="1" applyFill="1"/>
    <xf numFmtId="0" fontId="90" fillId="0" borderId="0" xfId="0" applyFont="1"/>
    <xf numFmtId="0" fontId="47" fillId="0" borderId="25" xfId="0" applyFont="1" applyBorder="1"/>
    <xf numFmtId="173" fontId="46" fillId="49" borderId="1" xfId="1" applyNumberFormat="1" applyFont="1" applyFill="1" applyBorder="1" applyAlignment="1">
      <alignment horizontal="right" vertical="center" wrapText="1"/>
    </xf>
    <xf numFmtId="173" fontId="46" fillId="49" borderId="17" xfId="1" applyNumberFormat="1" applyFont="1" applyFill="1" applyBorder="1" applyAlignment="1">
      <alignment horizontal="right" vertical="center" wrapText="1"/>
    </xf>
    <xf numFmtId="173" fontId="46" fillId="49" borderId="17" xfId="1" applyNumberFormat="1" applyFont="1" applyFill="1" applyBorder="1" applyAlignment="1">
      <alignment horizontal="center" vertical="center" wrapText="1"/>
    </xf>
    <xf numFmtId="173" fontId="46" fillId="49" borderId="1" xfId="1" applyNumberFormat="1" applyFont="1" applyFill="1" applyBorder="1" applyAlignment="1" applyProtection="1">
      <alignment horizontal="center" vertical="center" wrapText="1"/>
    </xf>
    <xf numFmtId="173" fontId="46" fillId="49" borderId="1" xfId="1" applyNumberFormat="1" applyFont="1" applyFill="1" applyBorder="1" applyAlignment="1" applyProtection="1">
      <alignment horizontal="right"/>
      <protection hidden="1"/>
    </xf>
    <xf numFmtId="173" fontId="47" fillId="49" borderId="17" xfId="1" applyNumberFormat="1" applyFont="1" applyFill="1" applyBorder="1" applyAlignment="1">
      <alignment horizontal="right" vertical="center" wrapText="1"/>
    </xf>
    <xf numFmtId="0" fontId="102" fillId="43" borderId="1" xfId="0" applyFont="1" applyFill="1" applyBorder="1"/>
    <xf numFmtId="0" fontId="2" fillId="43" borderId="0" xfId="0" applyFont="1" applyFill="1" applyAlignment="1">
      <alignment horizontal="center" vertical="center" wrapText="1"/>
    </xf>
    <xf numFmtId="173" fontId="46" fillId="43" borderId="23" xfId="1" applyNumberFormat="1" applyFont="1" applyFill="1" applyBorder="1" applyAlignment="1">
      <alignment horizontal="center" vertical="center" wrapText="1"/>
    </xf>
    <xf numFmtId="173" fontId="2" fillId="43" borderId="0" xfId="0" applyNumberFormat="1" applyFont="1" applyFill="1" applyAlignment="1">
      <alignment horizontal="center" vertical="center" wrapText="1"/>
    </xf>
    <xf numFmtId="0" fontId="101" fillId="43" borderId="1" xfId="0" applyFont="1" applyFill="1" applyBorder="1"/>
    <xf numFmtId="173" fontId="46" fillId="0" borderId="1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Fill="1" applyBorder="1"/>
    <xf numFmtId="0" fontId="0" fillId="49" borderId="0" xfId="0" applyFill="1"/>
    <xf numFmtId="0" fontId="2" fillId="49" borderId="0" xfId="0" applyFont="1" applyFill="1" applyAlignment="1">
      <alignment horizontal="center" vertical="top" wrapText="1"/>
    </xf>
    <xf numFmtId="43" fontId="0" fillId="49" borderId="0" xfId="0" applyNumberFormat="1" applyFill="1"/>
    <xf numFmtId="43" fontId="0" fillId="49" borderId="53" xfId="1" applyFont="1" applyFill="1" applyBorder="1"/>
    <xf numFmtId="43" fontId="0" fillId="49" borderId="54" xfId="1" applyFont="1" applyFill="1" applyBorder="1"/>
    <xf numFmtId="43" fontId="0" fillId="49" borderId="55" xfId="1" applyFont="1" applyFill="1" applyBorder="1"/>
    <xf numFmtId="44" fontId="0" fillId="0" borderId="0" xfId="1" applyNumberFormat="1" applyFont="1" applyFill="1" applyBorder="1"/>
    <xf numFmtId="172" fontId="0" fillId="49" borderId="0" xfId="0" applyNumberFormat="1" applyFill="1"/>
    <xf numFmtId="0" fontId="0" fillId="0" borderId="32" xfId="0" applyBorder="1"/>
    <xf numFmtId="0" fontId="0" fillId="0" borderId="33" xfId="0" applyBorder="1"/>
    <xf numFmtId="0" fontId="0" fillId="0" borderId="56" xfId="0" applyBorder="1"/>
    <xf numFmtId="0" fontId="26" fillId="49" borderId="0" xfId="3967" applyFill="1" applyBorder="1" applyAlignment="1"/>
    <xf numFmtId="0" fontId="100" fillId="48" borderId="0" xfId="0" applyFont="1" applyFill="1" applyAlignment="1">
      <alignment horizontal="left"/>
    </xf>
    <xf numFmtId="0" fontId="100" fillId="48" borderId="0" xfId="0" applyFont="1" applyFill="1" applyProtection="1">
      <protection locked="0"/>
    </xf>
    <xf numFmtId="14" fontId="0" fillId="0" borderId="0" xfId="0" applyNumberFormat="1"/>
    <xf numFmtId="43" fontId="0" fillId="0" borderId="3" xfId="1" applyFont="1" applyBorder="1" applyAlignment="1">
      <alignment vertical="center" wrapText="1"/>
    </xf>
    <xf numFmtId="0" fontId="4" fillId="0" borderId="1" xfId="3967" applyFont="1" applyFill="1" applyBorder="1"/>
    <xf numFmtId="43" fontId="0" fillId="51" borderId="3" xfId="0" applyNumberFormat="1" applyFill="1" applyBorder="1" applyAlignment="1">
      <alignment vertical="center" wrapText="1"/>
    </xf>
    <xf numFmtId="0" fontId="46" fillId="49" borderId="1" xfId="0" applyFont="1" applyFill="1" applyBorder="1"/>
    <xf numFmtId="43" fontId="95" fillId="0" borderId="3" xfId="0" applyNumberFormat="1" applyFont="1" applyBorder="1" applyAlignment="1">
      <alignment vertical="center" wrapText="1"/>
    </xf>
    <xf numFmtId="43" fontId="95" fillId="0" borderId="1" xfId="0" applyNumberFormat="1" applyFont="1" applyBorder="1"/>
    <xf numFmtId="173" fontId="104" fillId="0" borderId="1" xfId="1" applyNumberFormat="1" applyFont="1" applyBorder="1" applyAlignment="1" applyProtection="1">
      <alignment horizontal="right" vertical="center" wrapText="1"/>
      <protection hidden="1"/>
    </xf>
    <xf numFmtId="173" fontId="5" fillId="25" borderId="0" xfId="0" applyNumberFormat="1" applyFont="1" applyFill="1" applyAlignment="1">
      <alignment horizontal="left" vertical="center"/>
    </xf>
    <xf numFmtId="43" fontId="4" fillId="0" borderId="1" xfId="0" applyNumberFormat="1" applyFont="1" applyBorder="1"/>
    <xf numFmtId="43" fontId="4" fillId="0" borderId="3" xfId="0" applyNumberFormat="1" applyFont="1" applyBorder="1" applyAlignment="1">
      <alignment vertical="center" wrapText="1"/>
    </xf>
    <xf numFmtId="172" fontId="0" fillId="49" borderId="0" xfId="0" applyNumberFormat="1" applyFill="1" applyAlignment="1">
      <alignment vertical="center" wrapText="1"/>
    </xf>
    <xf numFmtId="0" fontId="4" fillId="0" borderId="0" xfId="3967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43" fontId="0" fillId="0" borderId="0" xfId="1" applyFont="1" applyFill="1" applyBorder="1"/>
    <xf numFmtId="175" fontId="0" fillId="0" borderId="0" xfId="0" applyNumberFormat="1"/>
    <xf numFmtId="0" fontId="2" fillId="47" borderId="0" xfId="0" applyFont="1" applyFill="1" applyAlignment="1">
      <alignment horizontal="center" vertical="top" wrapText="1"/>
    </xf>
    <xf numFmtId="0" fontId="2" fillId="26" borderId="0" xfId="0" applyFont="1" applyFill="1" applyAlignment="1">
      <alignment horizontal="center" vertical="top" wrapText="1"/>
    </xf>
    <xf numFmtId="0" fontId="2" fillId="50" borderId="0" xfId="0" applyFont="1" applyFill="1" applyAlignment="1">
      <alignment horizontal="center" vertical="top" wrapText="1"/>
    </xf>
    <xf numFmtId="0" fontId="0" fillId="0" borderId="30" xfId="0" applyBorder="1" applyAlignment="1">
      <alignment horizontal="centerContinuous"/>
    </xf>
    <xf numFmtId="0" fontId="0" fillId="0" borderId="49" xfId="0" applyBorder="1" applyAlignment="1">
      <alignment horizontal="centerContinuous"/>
    </xf>
    <xf numFmtId="0" fontId="44" fillId="0" borderId="57" xfId="0" applyFont="1" applyBorder="1" applyAlignment="1">
      <alignment horizontal="centerContinuous"/>
    </xf>
    <xf numFmtId="0" fontId="44" fillId="0" borderId="30" xfId="0" applyFont="1" applyBorder="1" applyAlignment="1">
      <alignment horizontal="centerContinuous"/>
    </xf>
    <xf numFmtId="0" fontId="44" fillId="49" borderId="3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" vertical="top" wrapText="1"/>
    </xf>
    <xf numFmtId="0" fontId="2" fillId="44" borderId="0" xfId="0" applyFont="1" applyFill="1" applyAlignment="1">
      <alignment horizontal="center" vertical="top" wrapText="1"/>
    </xf>
    <xf numFmtId="0" fontId="26" fillId="0" borderId="0" xfId="3967" applyBorder="1" applyAlignment="1"/>
    <xf numFmtId="0" fontId="2" fillId="49" borderId="0" xfId="0" applyFont="1" applyFill="1" applyAlignment="1">
      <alignment horizontal="center"/>
    </xf>
    <xf numFmtId="0" fontId="2" fillId="46" borderId="1" xfId="0" applyFont="1" applyFill="1" applyBorder="1" applyAlignment="1">
      <alignment horizontal="center" vertical="top" wrapText="1"/>
    </xf>
    <xf numFmtId="0" fontId="2" fillId="45" borderId="1" xfId="0" applyFont="1" applyFill="1" applyBorder="1" applyAlignment="1">
      <alignment horizontal="center"/>
    </xf>
    <xf numFmtId="44" fontId="0" fillId="0" borderId="58" xfId="0" applyNumberFormat="1" applyBorder="1"/>
    <xf numFmtId="173" fontId="2" fillId="0" borderId="0" xfId="1" applyNumberFormat="1" applyFont="1" applyBorder="1"/>
    <xf numFmtId="173" fontId="2" fillId="0" borderId="0" xfId="1" applyNumberFormat="1" applyFont="1" applyBorder="1" applyAlignment="1">
      <alignment horizontal="center"/>
    </xf>
    <xf numFmtId="173" fontId="95" fillId="0" borderId="0" xfId="0" applyNumberFormat="1" applyFont="1"/>
    <xf numFmtId="17" fontId="0" fillId="0" borderId="0" xfId="0" applyNumberFormat="1"/>
    <xf numFmtId="0" fontId="0" fillId="51" borderId="0" xfId="0" applyFill="1"/>
    <xf numFmtId="0" fontId="2" fillId="51" borderId="0" xfId="0" applyFont="1" applyFill="1" applyAlignment="1">
      <alignment horizontal="right"/>
    </xf>
    <xf numFmtId="0" fontId="0" fillId="51" borderId="31" xfId="0" applyFill="1" applyBorder="1"/>
    <xf numFmtId="0" fontId="0" fillId="51" borderId="1" xfId="0" applyFill="1" applyBorder="1"/>
    <xf numFmtId="0" fontId="2" fillId="51" borderId="0" xfId="0" applyFont="1" applyFill="1"/>
    <xf numFmtId="0" fontId="26" fillId="0" borderId="0" xfId="3967"/>
    <xf numFmtId="0" fontId="47" fillId="0" borderId="22" xfId="0" applyFont="1" applyBorder="1" applyProtection="1">
      <protection hidden="1"/>
    </xf>
    <xf numFmtId="173" fontId="46" fillId="0" borderId="59" xfId="1" applyNumberFormat="1" applyFont="1" applyBorder="1" applyProtection="1">
      <protection hidden="1"/>
    </xf>
    <xf numFmtId="173" fontId="46" fillId="0" borderId="59" xfId="1" applyNumberFormat="1" applyFont="1" applyBorder="1" applyAlignment="1" applyProtection="1">
      <alignment horizontal="right" vertical="center" wrapText="1"/>
      <protection hidden="1"/>
    </xf>
    <xf numFmtId="0" fontId="2" fillId="45" borderId="1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centerContinuous"/>
    </xf>
    <xf numFmtId="0" fontId="2" fillId="0" borderId="49" xfId="0" applyFont="1" applyBorder="1" applyAlignment="1">
      <alignment horizontal="centerContinuous"/>
    </xf>
    <xf numFmtId="0" fontId="2" fillId="0" borderId="57" xfId="0" applyFont="1" applyBorder="1" applyAlignment="1">
      <alignment horizontal="centerContinuous"/>
    </xf>
    <xf numFmtId="0" fontId="2" fillId="0" borderId="46" xfId="0" applyFont="1" applyBorder="1" applyAlignment="1">
      <alignment horizontal="centerContinuous"/>
    </xf>
    <xf numFmtId="172" fontId="0" fillId="47" borderId="0" xfId="0" applyNumberFormat="1" applyFill="1"/>
    <xf numFmtId="43" fontId="0" fillId="47" borderId="0" xfId="0" applyNumberFormat="1" applyFill="1"/>
    <xf numFmtId="173" fontId="46" fillId="0" borderId="18" xfId="1" applyNumberFormat="1" applyFont="1" applyFill="1" applyBorder="1"/>
    <xf numFmtId="0" fontId="26" fillId="0" borderId="2" xfId="3967" applyFill="1" applyBorder="1"/>
    <xf numFmtId="0" fontId="26" fillId="0" borderId="3" xfId="3967" applyFill="1" applyBorder="1"/>
    <xf numFmtId="173" fontId="46" fillId="43" borderId="17" xfId="1" applyNumberFormat="1" applyFont="1" applyFill="1" applyBorder="1" applyAlignment="1" applyProtection="1">
      <alignment horizontal="right"/>
      <protection hidden="1"/>
    </xf>
    <xf numFmtId="0" fontId="47" fillId="43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46" borderId="1" xfId="0" applyFont="1" applyFill="1" applyBorder="1" applyAlignment="1">
      <alignment horizontal="center" wrapText="1"/>
    </xf>
    <xf numFmtId="4" fontId="0" fillId="0" borderId="3" xfId="0" applyNumberFormat="1" applyBorder="1"/>
    <xf numFmtId="0" fontId="2" fillId="46" borderId="60" xfId="0" applyFont="1" applyFill="1" applyBorder="1" applyAlignment="1">
      <alignment horizontal="center" wrapText="1"/>
    </xf>
    <xf numFmtId="173" fontId="46" fillId="0" borderId="2" xfId="1" applyNumberFormat="1" applyFont="1" applyBorder="1" applyAlignment="1">
      <alignment horizontal="center" vertical="center" wrapText="1"/>
    </xf>
    <xf numFmtId="173" fontId="46" fillId="0" borderId="3" xfId="1" applyNumberFormat="1" applyFont="1" applyBorder="1" applyAlignment="1">
      <alignment horizontal="center" vertical="center" wrapText="1"/>
    </xf>
    <xf numFmtId="173" fontId="48" fillId="0" borderId="0" xfId="1" applyNumberFormat="1" applyFont="1" applyBorder="1" applyAlignment="1">
      <alignment horizontal="right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/>
    </xf>
    <xf numFmtId="0" fontId="46" fillId="0" borderId="18" xfId="0" applyFont="1" applyBorder="1" applyAlignment="1">
      <alignment horizontal="left"/>
    </xf>
    <xf numFmtId="0" fontId="2" fillId="46" borderId="1" xfId="0" applyFont="1" applyFill="1" applyBorder="1" applyAlignment="1">
      <alignment horizontal="center"/>
    </xf>
    <xf numFmtId="0" fontId="2" fillId="45" borderId="1" xfId="0" applyFont="1" applyFill="1" applyBorder="1" applyAlignment="1">
      <alignment horizontal="center"/>
    </xf>
  </cellXfs>
  <cellStyles count="3974">
    <cellStyle name=" 1" xfId="3" xr:uid="{00000000-0005-0000-0000-000000000000}"/>
    <cellStyle name=" 2" xfId="4" xr:uid="{00000000-0005-0000-0000-000001000000}"/>
    <cellStyle name=" 3" xfId="5" xr:uid="{00000000-0005-0000-0000-000002000000}"/>
    <cellStyle name="%" xfId="6" xr:uid="{00000000-0005-0000-0000-000003000000}"/>
    <cellStyle name="% 2" xfId="186" xr:uid="{00000000-0005-0000-0000-000004000000}"/>
    <cellStyle name="% 2 2" xfId="210" xr:uid="{00000000-0005-0000-0000-000005000000}"/>
    <cellStyle name="% 2 3" xfId="211" xr:uid="{00000000-0005-0000-0000-000006000000}"/>
    <cellStyle name="% 2 4" xfId="212" xr:uid="{00000000-0005-0000-0000-000007000000}"/>
    <cellStyle name="% 3" xfId="213" xr:uid="{00000000-0005-0000-0000-000008000000}"/>
    <cellStyle name="% 3 2" xfId="214" xr:uid="{00000000-0005-0000-0000-000009000000}"/>
    <cellStyle name="% 4" xfId="215" xr:uid="{00000000-0005-0000-0000-00000A000000}"/>
    <cellStyle name="% 5" xfId="216" xr:uid="{00000000-0005-0000-0000-00000B000000}"/>
    <cellStyle name="% 6" xfId="217" xr:uid="{00000000-0005-0000-0000-00000C000000}"/>
    <cellStyle name="%_Appendices A C and D and MFG transitional protection -corrected on 11th January" xfId="218" xr:uid="{00000000-0005-0000-0000-00000D000000}"/>
    <cellStyle name="%_Appendices A C and D and MFG transitional protection -corrected on 11th January 2" xfId="219" xr:uid="{00000000-0005-0000-0000-00000E000000}"/>
    <cellStyle name="%_Book1" xfId="7" xr:uid="{00000000-0005-0000-0000-00000F000000}"/>
    <cellStyle name="%_DFE Contribution" xfId="220" xr:uid="{00000000-0005-0000-0000-000010000000}"/>
    <cellStyle name="%_LFF 3-4 2011.12 Indicative 26.01.2011 v2" xfId="221" xr:uid="{00000000-0005-0000-0000-000011000000}"/>
    <cellStyle name="%_mainstreaming of specific grants GM V2 25-10-10 v5" xfId="222" xr:uid="{00000000-0005-0000-0000-000012000000}"/>
    <cellStyle name="%_mainstreaming of specific grants GM V2 25-10-10 v5 2" xfId="223" xr:uid="{00000000-0005-0000-0000-000013000000}"/>
    <cellStyle name="%_mainstreaming of specific grants GM V2 25-10-10 v5_Appendices A C and D and MFG transitional protection -corrected on 11th January" xfId="224" xr:uid="{00000000-0005-0000-0000-000014000000}"/>
    <cellStyle name="%_mainstreaming of specific grants GM V2 25-10-10 v5_Appendices A C and D and MFG transitional protection -corrected on 11th January 2" xfId="225" xr:uid="{00000000-0005-0000-0000-000015000000}"/>
    <cellStyle name="%_School Contributions" xfId="226" xr:uid="{00000000-0005-0000-0000-000016000000}"/>
    <cellStyle name="]_x000d__x000a_Zoomed=1_x000d__x000a_Row=0_x000d__x000a_Column=0_x000d__x000a_Height=0_x000d__x000a_Width=0_x000d__x000a_FontName=FoxFont_x000d__x000a_FontStyle=0_x000d__x000a_FontSize=9_x000d__x000a_PrtFontName=FoxPrin" xfId="8" xr:uid="{00000000-0005-0000-0000-000017000000}"/>
    <cellStyle name="]_x000d__x000a_Zoomed=1_x000d__x000a_Row=0_x000d__x000a_Column=0_x000d__x000a_Height=0_x000d__x000a_Width=0_x000d__x000a_FontName=FoxFont_x000d__x000a_FontStyle=0_x000d__x000a_FontSize=9_x000d__x000a_PrtFontName=FoxPrin 2" xfId="9" xr:uid="{00000000-0005-0000-0000-000018000000}"/>
    <cellStyle name="]_x000d__x000a_Zoomed=1_x000d__x000a_Row=0_x000d__x000a_Column=0_x000d__x000a_Height=0_x000d__x000a_Width=0_x000d__x000a_FontName=FoxFont_x000d__x000a_FontStyle=0_x000d__x000a_FontSize=9_x000d__x000a_PrtFontName=FoxPrin 2 2" xfId="10" xr:uid="{00000000-0005-0000-0000-000019000000}"/>
    <cellStyle name="]_x000d__x000a_Zoomed=1_x000d__x000a_Row=0_x000d__x000a_Column=0_x000d__x000a_Height=0_x000d__x000a_Width=0_x000d__x000a_FontName=FoxFont_x000d__x000a_FontStyle=0_x000d__x000a_FontSize=9_x000d__x000a_PrtFontName=FoxPrin 3" xfId="11" xr:uid="{00000000-0005-0000-0000-00001A000000}"/>
    <cellStyle name="]_x000d__x000a_Zoomed=1_x000d__x000a_Row=0_x000d__x000a_Column=0_x000d__x000a_Height=0_x000d__x000a_Width=0_x000d__x000a_FontName=FoxFont_x000d__x000a_FontStyle=0_x000d__x000a_FontSize=9_x000d__x000a_PrtFontName=FoxPrin 3 2" xfId="12" xr:uid="{00000000-0005-0000-0000-00001B000000}"/>
    <cellStyle name="]_x000d__x000a_Zoomed=1_x000d__x000a_Row=0_x000d__x000a_Column=0_x000d__x000a_Height=0_x000d__x000a_Width=0_x000d__x000a_FontName=FoxFont_x000d__x000a_FontStyle=0_x000d__x000a_FontSize=9_x000d__x000a_PrtFontName=FoxPrin 3_All Schools2" xfId="13" xr:uid="{00000000-0005-0000-0000-00001C000000}"/>
    <cellStyle name="]_x000d__x000a_Zoomed=1_x000d__x000a_Row=0_x000d__x000a_Column=0_x000d__x000a_Height=0_x000d__x000a_Width=0_x000d__x000a_FontName=FoxFont_x000d__x000a_FontStyle=0_x000d__x000a_FontSize=9_x000d__x000a_PrtFontName=FoxPrin_All Schools2" xfId="14" xr:uid="{00000000-0005-0000-0000-00001D000000}"/>
    <cellStyle name="_38006 University Academy Keighley MFG Calculation" xfId="15" xr:uid="{00000000-0005-0000-0000-00001E000000}"/>
    <cellStyle name="20% - Accent1 2" xfId="16" xr:uid="{00000000-0005-0000-0000-00001F000000}"/>
    <cellStyle name="20% - Accent1 2 2" xfId="17" xr:uid="{00000000-0005-0000-0000-000020000000}"/>
    <cellStyle name="20% - Accent1 2 2 2" xfId="227" xr:uid="{00000000-0005-0000-0000-000021000000}"/>
    <cellStyle name="20% - Accent1 2 2 3" xfId="228" xr:uid="{00000000-0005-0000-0000-000022000000}"/>
    <cellStyle name="20% - Accent1 2 3" xfId="229" xr:uid="{00000000-0005-0000-0000-000023000000}"/>
    <cellStyle name="20% - Accent1 2 4" xfId="230" xr:uid="{00000000-0005-0000-0000-000024000000}"/>
    <cellStyle name="20% - Accent2 2" xfId="18" xr:uid="{00000000-0005-0000-0000-000025000000}"/>
    <cellStyle name="20% - Accent2 2 2" xfId="19" xr:uid="{00000000-0005-0000-0000-000026000000}"/>
    <cellStyle name="20% - Accent2 2 3" xfId="231" xr:uid="{00000000-0005-0000-0000-000027000000}"/>
    <cellStyle name="20% - Accent3 2" xfId="20" xr:uid="{00000000-0005-0000-0000-000028000000}"/>
    <cellStyle name="20% - Accent3 2 2" xfId="21" xr:uid="{00000000-0005-0000-0000-000029000000}"/>
    <cellStyle name="20% - Accent3 2 3" xfId="232" xr:uid="{00000000-0005-0000-0000-00002A000000}"/>
    <cellStyle name="20% - Accent4 2" xfId="22" xr:uid="{00000000-0005-0000-0000-00002B000000}"/>
    <cellStyle name="20% - Accent4 2 2" xfId="23" xr:uid="{00000000-0005-0000-0000-00002C000000}"/>
    <cellStyle name="20% - Accent4 2 3" xfId="233" xr:uid="{00000000-0005-0000-0000-00002D000000}"/>
    <cellStyle name="20% - Accent5 2" xfId="24" xr:uid="{00000000-0005-0000-0000-00002E000000}"/>
    <cellStyle name="20% - Accent5 2 2" xfId="25" xr:uid="{00000000-0005-0000-0000-00002F000000}"/>
    <cellStyle name="20% - Accent5 2 3" xfId="234" xr:uid="{00000000-0005-0000-0000-000030000000}"/>
    <cellStyle name="20% - Accent6 2" xfId="26" xr:uid="{00000000-0005-0000-0000-000031000000}"/>
    <cellStyle name="20% - Accent6 2 2" xfId="27" xr:uid="{00000000-0005-0000-0000-000032000000}"/>
    <cellStyle name="20% - Accent6 2 3" xfId="235" xr:uid="{00000000-0005-0000-0000-000033000000}"/>
    <cellStyle name="40% - Accent1 2" xfId="28" xr:uid="{00000000-0005-0000-0000-000034000000}"/>
    <cellStyle name="40% - Accent1 2 2" xfId="29" xr:uid="{00000000-0005-0000-0000-000035000000}"/>
    <cellStyle name="40% - Accent1 2 3" xfId="236" xr:uid="{00000000-0005-0000-0000-000036000000}"/>
    <cellStyle name="40% - Accent1 3" xfId="237" xr:uid="{00000000-0005-0000-0000-000037000000}"/>
    <cellStyle name="40% - Accent2 2" xfId="30" xr:uid="{00000000-0005-0000-0000-000038000000}"/>
    <cellStyle name="40% - Accent2 2 2" xfId="31" xr:uid="{00000000-0005-0000-0000-000039000000}"/>
    <cellStyle name="40% - Accent2 2 3" xfId="238" xr:uid="{00000000-0005-0000-0000-00003A000000}"/>
    <cellStyle name="40% - Accent2 3" xfId="239" xr:uid="{00000000-0005-0000-0000-00003B000000}"/>
    <cellStyle name="40% - Accent3 2" xfId="32" xr:uid="{00000000-0005-0000-0000-00003C000000}"/>
    <cellStyle name="40% - Accent3 2 2" xfId="33" xr:uid="{00000000-0005-0000-0000-00003D000000}"/>
    <cellStyle name="40% - Accent3 2 3" xfId="240" xr:uid="{00000000-0005-0000-0000-00003E000000}"/>
    <cellStyle name="40% - Accent4 2" xfId="34" xr:uid="{00000000-0005-0000-0000-00003F000000}"/>
    <cellStyle name="40% - Accent4 2 2" xfId="35" xr:uid="{00000000-0005-0000-0000-000040000000}"/>
    <cellStyle name="40% - Accent4 2 3" xfId="241" xr:uid="{00000000-0005-0000-0000-000041000000}"/>
    <cellStyle name="40% - Accent5 2" xfId="36" xr:uid="{00000000-0005-0000-0000-000042000000}"/>
    <cellStyle name="40% - Accent5 2 2" xfId="37" xr:uid="{00000000-0005-0000-0000-000043000000}"/>
    <cellStyle name="40% - Accent5 2 3" xfId="242" xr:uid="{00000000-0005-0000-0000-000044000000}"/>
    <cellStyle name="40% - Accent6 2" xfId="38" xr:uid="{00000000-0005-0000-0000-000045000000}"/>
    <cellStyle name="40% - Accent6 2 2" xfId="39" xr:uid="{00000000-0005-0000-0000-000046000000}"/>
    <cellStyle name="40% - Accent6 2 3" xfId="243" xr:uid="{00000000-0005-0000-0000-000047000000}"/>
    <cellStyle name="60% - Accent1 2" xfId="40" xr:uid="{00000000-0005-0000-0000-000048000000}"/>
    <cellStyle name="60% - Accent1 2 2" xfId="244" xr:uid="{00000000-0005-0000-0000-000049000000}"/>
    <cellStyle name="60% - Accent2 2" xfId="41" xr:uid="{00000000-0005-0000-0000-00004A000000}"/>
    <cellStyle name="60% - Accent2 2 2" xfId="245" xr:uid="{00000000-0005-0000-0000-00004B000000}"/>
    <cellStyle name="60% - Accent3 2" xfId="42" xr:uid="{00000000-0005-0000-0000-00004C000000}"/>
    <cellStyle name="60% - Accent3 2 2" xfId="246" xr:uid="{00000000-0005-0000-0000-00004D000000}"/>
    <cellStyle name="60% - Accent3 3" xfId="3970" xr:uid="{05A01E92-CE58-4CA6-8478-B2420B48C3C0}"/>
    <cellStyle name="60% - Accent4 2" xfId="43" xr:uid="{00000000-0005-0000-0000-00004E000000}"/>
    <cellStyle name="60% - Accent4 2 2" xfId="247" xr:uid="{00000000-0005-0000-0000-00004F000000}"/>
    <cellStyle name="60% - Accent5 2" xfId="44" xr:uid="{00000000-0005-0000-0000-000050000000}"/>
    <cellStyle name="60% - Accent5 2 2" xfId="248" xr:uid="{00000000-0005-0000-0000-000051000000}"/>
    <cellStyle name="60% - Accent6 2" xfId="45" xr:uid="{00000000-0005-0000-0000-000052000000}"/>
    <cellStyle name="60% - Accent6 2 2" xfId="249" xr:uid="{00000000-0005-0000-0000-000053000000}"/>
    <cellStyle name="60% - Accent6 2 3" xfId="250" xr:uid="{00000000-0005-0000-0000-000054000000}"/>
    <cellStyle name="60% - Accent6 2 4" xfId="251" xr:uid="{00000000-0005-0000-0000-000055000000}"/>
    <cellStyle name="Accent1 2" xfId="46" xr:uid="{00000000-0005-0000-0000-000056000000}"/>
    <cellStyle name="Accent1 2 2" xfId="252" xr:uid="{00000000-0005-0000-0000-000057000000}"/>
    <cellStyle name="Accent1 3" xfId="253" xr:uid="{00000000-0005-0000-0000-000058000000}"/>
    <cellStyle name="Accent2 2" xfId="47" xr:uid="{00000000-0005-0000-0000-000059000000}"/>
    <cellStyle name="Accent2 2 2" xfId="254" xr:uid="{00000000-0005-0000-0000-00005A000000}"/>
    <cellStyle name="Accent3 2" xfId="48" xr:uid="{00000000-0005-0000-0000-00005B000000}"/>
    <cellStyle name="Accent3 2 2" xfId="255" xr:uid="{00000000-0005-0000-0000-00005C000000}"/>
    <cellStyle name="Accent4 2" xfId="49" xr:uid="{00000000-0005-0000-0000-00005D000000}"/>
    <cellStyle name="Accent4 2 2" xfId="256" xr:uid="{00000000-0005-0000-0000-00005E000000}"/>
    <cellStyle name="Accent5 2" xfId="50" xr:uid="{00000000-0005-0000-0000-00005F000000}"/>
    <cellStyle name="Accent5 2 2" xfId="257" xr:uid="{00000000-0005-0000-0000-000060000000}"/>
    <cellStyle name="Accent6 2" xfId="51" xr:uid="{00000000-0005-0000-0000-000061000000}"/>
    <cellStyle name="Accent6 2 2" xfId="258" xr:uid="{00000000-0005-0000-0000-000062000000}"/>
    <cellStyle name="Bad 2" xfId="52" xr:uid="{00000000-0005-0000-0000-000063000000}"/>
    <cellStyle name="Bad 2 2" xfId="259" xr:uid="{00000000-0005-0000-0000-000064000000}"/>
    <cellStyle name="Calculation 2" xfId="53" xr:uid="{00000000-0005-0000-0000-000065000000}"/>
    <cellStyle name="Calculation 2 10" xfId="260" xr:uid="{00000000-0005-0000-0000-000066000000}"/>
    <cellStyle name="Calculation 2 10 2" xfId="261" xr:uid="{00000000-0005-0000-0000-000067000000}"/>
    <cellStyle name="Calculation 2 10 3" xfId="262" xr:uid="{00000000-0005-0000-0000-000068000000}"/>
    <cellStyle name="Calculation 2 10 4" xfId="263" xr:uid="{00000000-0005-0000-0000-000069000000}"/>
    <cellStyle name="Calculation 2 10 5" xfId="264" xr:uid="{00000000-0005-0000-0000-00006A000000}"/>
    <cellStyle name="Calculation 2 11" xfId="265" xr:uid="{00000000-0005-0000-0000-00006B000000}"/>
    <cellStyle name="Calculation 2 11 2" xfId="266" xr:uid="{00000000-0005-0000-0000-00006C000000}"/>
    <cellStyle name="Calculation 2 11 3" xfId="267" xr:uid="{00000000-0005-0000-0000-00006D000000}"/>
    <cellStyle name="Calculation 2 11 4" xfId="268" xr:uid="{00000000-0005-0000-0000-00006E000000}"/>
    <cellStyle name="Calculation 2 11 5" xfId="269" xr:uid="{00000000-0005-0000-0000-00006F000000}"/>
    <cellStyle name="Calculation 2 12" xfId="270" xr:uid="{00000000-0005-0000-0000-000070000000}"/>
    <cellStyle name="Calculation 2 12 2" xfId="271" xr:uid="{00000000-0005-0000-0000-000071000000}"/>
    <cellStyle name="Calculation 2 12 3" xfId="272" xr:uid="{00000000-0005-0000-0000-000072000000}"/>
    <cellStyle name="Calculation 2 12 4" xfId="273" xr:uid="{00000000-0005-0000-0000-000073000000}"/>
    <cellStyle name="Calculation 2 12 5" xfId="274" xr:uid="{00000000-0005-0000-0000-000074000000}"/>
    <cellStyle name="Calculation 2 13" xfId="275" xr:uid="{00000000-0005-0000-0000-000075000000}"/>
    <cellStyle name="Calculation 2 13 2" xfId="276" xr:uid="{00000000-0005-0000-0000-000076000000}"/>
    <cellStyle name="Calculation 2 13 3" xfId="277" xr:uid="{00000000-0005-0000-0000-000077000000}"/>
    <cellStyle name="Calculation 2 13 4" xfId="278" xr:uid="{00000000-0005-0000-0000-000078000000}"/>
    <cellStyle name="Calculation 2 14" xfId="279" xr:uid="{00000000-0005-0000-0000-000079000000}"/>
    <cellStyle name="Calculation 2 14 2" xfId="280" xr:uid="{00000000-0005-0000-0000-00007A000000}"/>
    <cellStyle name="Calculation 2 14 3" xfId="281" xr:uid="{00000000-0005-0000-0000-00007B000000}"/>
    <cellStyle name="Calculation 2 14 4" xfId="282" xr:uid="{00000000-0005-0000-0000-00007C000000}"/>
    <cellStyle name="Calculation 2 15" xfId="283" xr:uid="{00000000-0005-0000-0000-00007D000000}"/>
    <cellStyle name="Calculation 2 15 2" xfId="284" xr:uid="{00000000-0005-0000-0000-00007E000000}"/>
    <cellStyle name="Calculation 2 15 3" xfId="285" xr:uid="{00000000-0005-0000-0000-00007F000000}"/>
    <cellStyle name="Calculation 2 15 4" xfId="286" xr:uid="{00000000-0005-0000-0000-000080000000}"/>
    <cellStyle name="Calculation 2 16" xfId="287" xr:uid="{00000000-0005-0000-0000-000081000000}"/>
    <cellStyle name="Calculation 2 2" xfId="288" xr:uid="{00000000-0005-0000-0000-000082000000}"/>
    <cellStyle name="Calculation 2 2 10" xfId="289" xr:uid="{00000000-0005-0000-0000-000083000000}"/>
    <cellStyle name="Calculation 2 2 10 2" xfId="290" xr:uid="{00000000-0005-0000-0000-000084000000}"/>
    <cellStyle name="Calculation 2 2 10 3" xfId="291" xr:uid="{00000000-0005-0000-0000-000085000000}"/>
    <cellStyle name="Calculation 2 2 10 4" xfId="292" xr:uid="{00000000-0005-0000-0000-000086000000}"/>
    <cellStyle name="Calculation 2 2 10 5" xfId="293" xr:uid="{00000000-0005-0000-0000-000087000000}"/>
    <cellStyle name="Calculation 2 2 11" xfId="294" xr:uid="{00000000-0005-0000-0000-000088000000}"/>
    <cellStyle name="Calculation 2 2 11 2" xfId="295" xr:uid="{00000000-0005-0000-0000-000089000000}"/>
    <cellStyle name="Calculation 2 2 11 3" xfId="296" xr:uid="{00000000-0005-0000-0000-00008A000000}"/>
    <cellStyle name="Calculation 2 2 11 4" xfId="297" xr:uid="{00000000-0005-0000-0000-00008B000000}"/>
    <cellStyle name="Calculation 2 2 11 5" xfId="298" xr:uid="{00000000-0005-0000-0000-00008C000000}"/>
    <cellStyle name="Calculation 2 2 12" xfId="299" xr:uid="{00000000-0005-0000-0000-00008D000000}"/>
    <cellStyle name="Calculation 2 2 12 2" xfId="300" xr:uid="{00000000-0005-0000-0000-00008E000000}"/>
    <cellStyle name="Calculation 2 2 12 3" xfId="301" xr:uid="{00000000-0005-0000-0000-00008F000000}"/>
    <cellStyle name="Calculation 2 2 12 4" xfId="302" xr:uid="{00000000-0005-0000-0000-000090000000}"/>
    <cellStyle name="Calculation 2 2 12 5" xfId="303" xr:uid="{00000000-0005-0000-0000-000091000000}"/>
    <cellStyle name="Calculation 2 2 13" xfId="304" xr:uid="{00000000-0005-0000-0000-000092000000}"/>
    <cellStyle name="Calculation 2 2 13 2" xfId="305" xr:uid="{00000000-0005-0000-0000-000093000000}"/>
    <cellStyle name="Calculation 2 2 13 3" xfId="306" xr:uid="{00000000-0005-0000-0000-000094000000}"/>
    <cellStyle name="Calculation 2 2 13 4" xfId="307" xr:uid="{00000000-0005-0000-0000-000095000000}"/>
    <cellStyle name="Calculation 2 2 13 5" xfId="308" xr:uid="{00000000-0005-0000-0000-000096000000}"/>
    <cellStyle name="Calculation 2 2 14" xfId="309" xr:uid="{00000000-0005-0000-0000-000097000000}"/>
    <cellStyle name="Calculation 2 2 14 2" xfId="310" xr:uid="{00000000-0005-0000-0000-000098000000}"/>
    <cellStyle name="Calculation 2 2 14 3" xfId="311" xr:uid="{00000000-0005-0000-0000-000099000000}"/>
    <cellStyle name="Calculation 2 2 14 4" xfId="312" xr:uid="{00000000-0005-0000-0000-00009A000000}"/>
    <cellStyle name="Calculation 2 2 14 5" xfId="313" xr:uid="{00000000-0005-0000-0000-00009B000000}"/>
    <cellStyle name="Calculation 2 2 15" xfId="314" xr:uid="{00000000-0005-0000-0000-00009C000000}"/>
    <cellStyle name="Calculation 2 2 15 2" xfId="315" xr:uid="{00000000-0005-0000-0000-00009D000000}"/>
    <cellStyle name="Calculation 2 2 15 3" xfId="316" xr:uid="{00000000-0005-0000-0000-00009E000000}"/>
    <cellStyle name="Calculation 2 2 15 4" xfId="317" xr:uid="{00000000-0005-0000-0000-00009F000000}"/>
    <cellStyle name="Calculation 2 2 15 5" xfId="318" xr:uid="{00000000-0005-0000-0000-0000A0000000}"/>
    <cellStyle name="Calculation 2 2 16" xfId="319" xr:uid="{00000000-0005-0000-0000-0000A1000000}"/>
    <cellStyle name="Calculation 2 2 16 2" xfId="320" xr:uid="{00000000-0005-0000-0000-0000A2000000}"/>
    <cellStyle name="Calculation 2 2 16 3" xfId="321" xr:uid="{00000000-0005-0000-0000-0000A3000000}"/>
    <cellStyle name="Calculation 2 2 16 4" xfId="322" xr:uid="{00000000-0005-0000-0000-0000A4000000}"/>
    <cellStyle name="Calculation 2 2 16 5" xfId="323" xr:uid="{00000000-0005-0000-0000-0000A5000000}"/>
    <cellStyle name="Calculation 2 2 17" xfId="324" xr:uid="{00000000-0005-0000-0000-0000A6000000}"/>
    <cellStyle name="Calculation 2 2 17 2" xfId="325" xr:uid="{00000000-0005-0000-0000-0000A7000000}"/>
    <cellStyle name="Calculation 2 2 17 3" xfId="326" xr:uid="{00000000-0005-0000-0000-0000A8000000}"/>
    <cellStyle name="Calculation 2 2 17 4" xfId="327" xr:uid="{00000000-0005-0000-0000-0000A9000000}"/>
    <cellStyle name="Calculation 2 2 17 5" xfId="328" xr:uid="{00000000-0005-0000-0000-0000AA000000}"/>
    <cellStyle name="Calculation 2 2 18" xfId="329" xr:uid="{00000000-0005-0000-0000-0000AB000000}"/>
    <cellStyle name="Calculation 2 2 18 2" xfId="330" xr:uid="{00000000-0005-0000-0000-0000AC000000}"/>
    <cellStyle name="Calculation 2 2 18 3" xfId="331" xr:uid="{00000000-0005-0000-0000-0000AD000000}"/>
    <cellStyle name="Calculation 2 2 18 4" xfId="332" xr:uid="{00000000-0005-0000-0000-0000AE000000}"/>
    <cellStyle name="Calculation 2 2 18 5" xfId="333" xr:uid="{00000000-0005-0000-0000-0000AF000000}"/>
    <cellStyle name="Calculation 2 2 19" xfId="334" xr:uid="{00000000-0005-0000-0000-0000B0000000}"/>
    <cellStyle name="Calculation 2 2 19 2" xfId="335" xr:uid="{00000000-0005-0000-0000-0000B1000000}"/>
    <cellStyle name="Calculation 2 2 19 3" xfId="336" xr:uid="{00000000-0005-0000-0000-0000B2000000}"/>
    <cellStyle name="Calculation 2 2 19 4" xfId="337" xr:uid="{00000000-0005-0000-0000-0000B3000000}"/>
    <cellStyle name="Calculation 2 2 2" xfId="338" xr:uid="{00000000-0005-0000-0000-0000B4000000}"/>
    <cellStyle name="Calculation 2 2 2 2" xfId="339" xr:uid="{00000000-0005-0000-0000-0000B5000000}"/>
    <cellStyle name="Calculation 2 2 2 3" xfId="340" xr:uid="{00000000-0005-0000-0000-0000B6000000}"/>
    <cellStyle name="Calculation 2 2 2 4" xfId="341" xr:uid="{00000000-0005-0000-0000-0000B7000000}"/>
    <cellStyle name="Calculation 2 2 2 5" xfId="342" xr:uid="{00000000-0005-0000-0000-0000B8000000}"/>
    <cellStyle name="Calculation 2 2 20" xfId="343" xr:uid="{00000000-0005-0000-0000-0000B9000000}"/>
    <cellStyle name="Calculation 2 2 20 2" xfId="344" xr:uid="{00000000-0005-0000-0000-0000BA000000}"/>
    <cellStyle name="Calculation 2 2 20 3" xfId="345" xr:uid="{00000000-0005-0000-0000-0000BB000000}"/>
    <cellStyle name="Calculation 2 2 20 4" xfId="346" xr:uid="{00000000-0005-0000-0000-0000BC000000}"/>
    <cellStyle name="Calculation 2 2 21" xfId="347" xr:uid="{00000000-0005-0000-0000-0000BD000000}"/>
    <cellStyle name="Calculation 2 2 21 2" xfId="348" xr:uid="{00000000-0005-0000-0000-0000BE000000}"/>
    <cellStyle name="Calculation 2 2 21 3" xfId="349" xr:uid="{00000000-0005-0000-0000-0000BF000000}"/>
    <cellStyle name="Calculation 2 2 21 4" xfId="350" xr:uid="{00000000-0005-0000-0000-0000C0000000}"/>
    <cellStyle name="Calculation 2 2 22" xfId="351" xr:uid="{00000000-0005-0000-0000-0000C1000000}"/>
    <cellStyle name="Calculation 2 2 22 2" xfId="352" xr:uid="{00000000-0005-0000-0000-0000C2000000}"/>
    <cellStyle name="Calculation 2 2 22 3" xfId="353" xr:uid="{00000000-0005-0000-0000-0000C3000000}"/>
    <cellStyle name="Calculation 2 2 22 4" xfId="354" xr:uid="{00000000-0005-0000-0000-0000C4000000}"/>
    <cellStyle name="Calculation 2 2 23" xfId="355" xr:uid="{00000000-0005-0000-0000-0000C5000000}"/>
    <cellStyle name="Calculation 2 2 3" xfId="356" xr:uid="{00000000-0005-0000-0000-0000C6000000}"/>
    <cellStyle name="Calculation 2 2 3 2" xfId="357" xr:uid="{00000000-0005-0000-0000-0000C7000000}"/>
    <cellStyle name="Calculation 2 2 3 3" xfId="358" xr:uid="{00000000-0005-0000-0000-0000C8000000}"/>
    <cellStyle name="Calculation 2 2 3 4" xfId="359" xr:uid="{00000000-0005-0000-0000-0000C9000000}"/>
    <cellStyle name="Calculation 2 2 3 5" xfId="360" xr:uid="{00000000-0005-0000-0000-0000CA000000}"/>
    <cellStyle name="Calculation 2 2 4" xfId="361" xr:uid="{00000000-0005-0000-0000-0000CB000000}"/>
    <cellStyle name="Calculation 2 2 4 2" xfId="362" xr:uid="{00000000-0005-0000-0000-0000CC000000}"/>
    <cellStyle name="Calculation 2 2 4 3" xfId="363" xr:uid="{00000000-0005-0000-0000-0000CD000000}"/>
    <cellStyle name="Calculation 2 2 4 4" xfId="364" xr:uid="{00000000-0005-0000-0000-0000CE000000}"/>
    <cellStyle name="Calculation 2 2 4 5" xfId="365" xr:uid="{00000000-0005-0000-0000-0000CF000000}"/>
    <cellStyle name="Calculation 2 2 5" xfId="366" xr:uid="{00000000-0005-0000-0000-0000D0000000}"/>
    <cellStyle name="Calculation 2 2 5 2" xfId="367" xr:uid="{00000000-0005-0000-0000-0000D1000000}"/>
    <cellStyle name="Calculation 2 2 5 3" xfId="368" xr:uid="{00000000-0005-0000-0000-0000D2000000}"/>
    <cellStyle name="Calculation 2 2 5 4" xfId="369" xr:uid="{00000000-0005-0000-0000-0000D3000000}"/>
    <cellStyle name="Calculation 2 2 5 5" xfId="370" xr:uid="{00000000-0005-0000-0000-0000D4000000}"/>
    <cellStyle name="Calculation 2 2 6" xfId="371" xr:uid="{00000000-0005-0000-0000-0000D5000000}"/>
    <cellStyle name="Calculation 2 2 6 2" xfId="372" xr:uid="{00000000-0005-0000-0000-0000D6000000}"/>
    <cellStyle name="Calculation 2 2 6 3" xfId="373" xr:uid="{00000000-0005-0000-0000-0000D7000000}"/>
    <cellStyle name="Calculation 2 2 6 4" xfId="374" xr:uid="{00000000-0005-0000-0000-0000D8000000}"/>
    <cellStyle name="Calculation 2 2 6 5" xfId="375" xr:uid="{00000000-0005-0000-0000-0000D9000000}"/>
    <cellStyle name="Calculation 2 2 7" xfId="376" xr:uid="{00000000-0005-0000-0000-0000DA000000}"/>
    <cellStyle name="Calculation 2 2 7 2" xfId="377" xr:uid="{00000000-0005-0000-0000-0000DB000000}"/>
    <cellStyle name="Calculation 2 2 7 3" xfId="378" xr:uid="{00000000-0005-0000-0000-0000DC000000}"/>
    <cellStyle name="Calculation 2 2 7 4" xfId="379" xr:uid="{00000000-0005-0000-0000-0000DD000000}"/>
    <cellStyle name="Calculation 2 2 7 5" xfId="380" xr:uid="{00000000-0005-0000-0000-0000DE000000}"/>
    <cellStyle name="Calculation 2 2 8" xfId="381" xr:uid="{00000000-0005-0000-0000-0000DF000000}"/>
    <cellStyle name="Calculation 2 2 8 2" xfId="382" xr:uid="{00000000-0005-0000-0000-0000E0000000}"/>
    <cellStyle name="Calculation 2 2 8 3" xfId="383" xr:uid="{00000000-0005-0000-0000-0000E1000000}"/>
    <cellStyle name="Calculation 2 2 8 4" xfId="384" xr:uid="{00000000-0005-0000-0000-0000E2000000}"/>
    <cellStyle name="Calculation 2 2 8 5" xfId="385" xr:uid="{00000000-0005-0000-0000-0000E3000000}"/>
    <cellStyle name="Calculation 2 2 9" xfId="386" xr:uid="{00000000-0005-0000-0000-0000E4000000}"/>
    <cellStyle name="Calculation 2 2 9 2" xfId="387" xr:uid="{00000000-0005-0000-0000-0000E5000000}"/>
    <cellStyle name="Calculation 2 2 9 3" xfId="388" xr:uid="{00000000-0005-0000-0000-0000E6000000}"/>
    <cellStyle name="Calculation 2 2 9 4" xfId="389" xr:uid="{00000000-0005-0000-0000-0000E7000000}"/>
    <cellStyle name="Calculation 2 2 9 5" xfId="390" xr:uid="{00000000-0005-0000-0000-0000E8000000}"/>
    <cellStyle name="Calculation 2 3" xfId="391" xr:uid="{00000000-0005-0000-0000-0000E9000000}"/>
    <cellStyle name="Calculation 2 3 10" xfId="392" xr:uid="{00000000-0005-0000-0000-0000EA000000}"/>
    <cellStyle name="Calculation 2 3 10 2" xfId="393" xr:uid="{00000000-0005-0000-0000-0000EB000000}"/>
    <cellStyle name="Calculation 2 3 10 3" xfId="394" xr:uid="{00000000-0005-0000-0000-0000EC000000}"/>
    <cellStyle name="Calculation 2 3 10 4" xfId="395" xr:uid="{00000000-0005-0000-0000-0000ED000000}"/>
    <cellStyle name="Calculation 2 3 10 5" xfId="396" xr:uid="{00000000-0005-0000-0000-0000EE000000}"/>
    <cellStyle name="Calculation 2 3 11" xfId="397" xr:uid="{00000000-0005-0000-0000-0000EF000000}"/>
    <cellStyle name="Calculation 2 3 11 2" xfId="398" xr:uid="{00000000-0005-0000-0000-0000F0000000}"/>
    <cellStyle name="Calculation 2 3 11 3" xfId="399" xr:uid="{00000000-0005-0000-0000-0000F1000000}"/>
    <cellStyle name="Calculation 2 3 11 4" xfId="400" xr:uid="{00000000-0005-0000-0000-0000F2000000}"/>
    <cellStyle name="Calculation 2 3 11 5" xfId="401" xr:uid="{00000000-0005-0000-0000-0000F3000000}"/>
    <cellStyle name="Calculation 2 3 12" xfId="402" xr:uid="{00000000-0005-0000-0000-0000F4000000}"/>
    <cellStyle name="Calculation 2 3 12 2" xfId="403" xr:uid="{00000000-0005-0000-0000-0000F5000000}"/>
    <cellStyle name="Calculation 2 3 12 3" xfId="404" xr:uid="{00000000-0005-0000-0000-0000F6000000}"/>
    <cellStyle name="Calculation 2 3 12 4" xfId="405" xr:uid="{00000000-0005-0000-0000-0000F7000000}"/>
    <cellStyle name="Calculation 2 3 12 5" xfId="406" xr:uid="{00000000-0005-0000-0000-0000F8000000}"/>
    <cellStyle name="Calculation 2 3 13" xfId="407" xr:uid="{00000000-0005-0000-0000-0000F9000000}"/>
    <cellStyle name="Calculation 2 3 13 2" xfId="408" xr:uid="{00000000-0005-0000-0000-0000FA000000}"/>
    <cellStyle name="Calculation 2 3 13 3" xfId="409" xr:uid="{00000000-0005-0000-0000-0000FB000000}"/>
    <cellStyle name="Calculation 2 3 13 4" xfId="410" xr:uid="{00000000-0005-0000-0000-0000FC000000}"/>
    <cellStyle name="Calculation 2 3 13 5" xfId="411" xr:uid="{00000000-0005-0000-0000-0000FD000000}"/>
    <cellStyle name="Calculation 2 3 14" xfId="412" xr:uid="{00000000-0005-0000-0000-0000FE000000}"/>
    <cellStyle name="Calculation 2 3 14 2" xfId="413" xr:uid="{00000000-0005-0000-0000-0000FF000000}"/>
    <cellStyle name="Calculation 2 3 14 3" xfId="414" xr:uid="{00000000-0005-0000-0000-000000010000}"/>
    <cellStyle name="Calculation 2 3 14 4" xfId="415" xr:uid="{00000000-0005-0000-0000-000001010000}"/>
    <cellStyle name="Calculation 2 3 14 5" xfId="416" xr:uid="{00000000-0005-0000-0000-000002010000}"/>
    <cellStyle name="Calculation 2 3 15" xfId="417" xr:uid="{00000000-0005-0000-0000-000003010000}"/>
    <cellStyle name="Calculation 2 3 15 2" xfId="418" xr:uid="{00000000-0005-0000-0000-000004010000}"/>
    <cellStyle name="Calculation 2 3 15 3" xfId="419" xr:uid="{00000000-0005-0000-0000-000005010000}"/>
    <cellStyle name="Calculation 2 3 15 4" xfId="420" xr:uid="{00000000-0005-0000-0000-000006010000}"/>
    <cellStyle name="Calculation 2 3 15 5" xfId="421" xr:uid="{00000000-0005-0000-0000-000007010000}"/>
    <cellStyle name="Calculation 2 3 16" xfId="422" xr:uid="{00000000-0005-0000-0000-000008010000}"/>
    <cellStyle name="Calculation 2 3 16 2" xfId="423" xr:uid="{00000000-0005-0000-0000-000009010000}"/>
    <cellStyle name="Calculation 2 3 16 3" xfId="424" xr:uid="{00000000-0005-0000-0000-00000A010000}"/>
    <cellStyle name="Calculation 2 3 16 4" xfId="425" xr:uid="{00000000-0005-0000-0000-00000B010000}"/>
    <cellStyle name="Calculation 2 3 16 5" xfId="426" xr:uid="{00000000-0005-0000-0000-00000C010000}"/>
    <cellStyle name="Calculation 2 3 17" xfId="427" xr:uid="{00000000-0005-0000-0000-00000D010000}"/>
    <cellStyle name="Calculation 2 3 17 2" xfId="428" xr:uid="{00000000-0005-0000-0000-00000E010000}"/>
    <cellStyle name="Calculation 2 3 17 3" xfId="429" xr:uid="{00000000-0005-0000-0000-00000F010000}"/>
    <cellStyle name="Calculation 2 3 17 4" xfId="430" xr:uid="{00000000-0005-0000-0000-000010010000}"/>
    <cellStyle name="Calculation 2 3 17 5" xfId="431" xr:uid="{00000000-0005-0000-0000-000011010000}"/>
    <cellStyle name="Calculation 2 3 18" xfId="432" xr:uid="{00000000-0005-0000-0000-000012010000}"/>
    <cellStyle name="Calculation 2 3 18 2" xfId="433" xr:uid="{00000000-0005-0000-0000-000013010000}"/>
    <cellStyle name="Calculation 2 3 18 3" xfId="434" xr:uid="{00000000-0005-0000-0000-000014010000}"/>
    <cellStyle name="Calculation 2 3 18 4" xfId="435" xr:uid="{00000000-0005-0000-0000-000015010000}"/>
    <cellStyle name="Calculation 2 3 18 5" xfId="436" xr:uid="{00000000-0005-0000-0000-000016010000}"/>
    <cellStyle name="Calculation 2 3 19" xfId="437" xr:uid="{00000000-0005-0000-0000-000017010000}"/>
    <cellStyle name="Calculation 2 3 19 2" xfId="438" xr:uid="{00000000-0005-0000-0000-000018010000}"/>
    <cellStyle name="Calculation 2 3 19 3" xfId="439" xr:uid="{00000000-0005-0000-0000-000019010000}"/>
    <cellStyle name="Calculation 2 3 19 4" xfId="440" xr:uid="{00000000-0005-0000-0000-00001A010000}"/>
    <cellStyle name="Calculation 2 3 2" xfId="441" xr:uid="{00000000-0005-0000-0000-00001B010000}"/>
    <cellStyle name="Calculation 2 3 2 2" xfId="442" xr:uid="{00000000-0005-0000-0000-00001C010000}"/>
    <cellStyle name="Calculation 2 3 2 3" xfId="443" xr:uid="{00000000-0005-0000-0000-00001D010000}"/>
    <cellStyle name="Calculation 2 3 2 4" xfId="444" xr:uid="{00000000-0005-0000-0000-00001E010000}"/>
    <cellStyle name="Calculation 2 3 2 5" xfId="445" xr:uid="{00000000-0005-0000-0000-00001F010000}"/>
    <cellStyle name="Calculation 2 3 20" xfId="446" xr:uid="{00000000-0005-0000-0000-000020010000}"/>
    <cellStyle name="Calculation 2 3 20 2" xfId="447" xr:uid="{00000000-0005-0000-0000-000021010000}"/>
    <cellStyle name="Calculation 2 3 20 3" xfId="448" xr:uid="{00000000-0005-0000-0000-000022010000}"/>
    <cellStyle name="Calculation 2 3 20 4" xfId="449" xr:uid="{00000000-0005-0000-0000-000023010000}"/>
    <cellStyle name="Calculation 2 3 21" xfId="450" xr:uid="{00000000-0005-0000-0000-000024010000}"/>
    <cellStyle name="Calculation 2 3 21 2" xfId="451" xr:uid="{00000000-0005-0000-0000-000025010000}"/>
    <cellStyle name="Calculation 2 3 21 3" xfId="452" xr:uid="{00000000-0005-0000-0000-000026010000}"/>
    <cellStyle name="Calculation 2 3 21 4" xfId="453" xr:uid="{00000000-0005-0000-0000-000027010000}"/>
    <cellStyle name="Calculation 2 3 22" xfId="454" xr:uid="{00000000-0005-0000-0000-000028010000}"/>
    <cellStyle name="Calculation 2 3 22 2" xfId="455" xr:uid="{00000000-0005-0000-0000-000029010000}"/>
    <cellStyle name="Calculation 2 3 22 3" xfId="456" xr:uid="{00000000-0005-0000-0000-00002A010000}"/>
    <cellStyle name="Calculation 2 3 22 4" xfId="457" xr:uid="{00000000-0005-0000-0000-00002B010000}"/>
    <cellStyle name="Calculation 2 3 23" xfId="458" xr:uid="{00000000-0005-0000-0000-00002C010000}"/>
    <cellStyle name="Calculation 2 3 3" xfId="459" xr:uid="{00000000-0005-0000-0000-00002D010000}"/>
    <cellStyle name="Calculation 2 3 3 2" xfId="460" xr:uid="{00000000-0005-0000-0000-00002E010000}"/>
    <cellStyle name="Calculation 2 3 3 3" xfId="461" xr:uid="{00000000-0005-0000-0000-00002F010000}"/>
    <cellStyle name="Calculation 2 3 3 4" xfId="462" xr:uid="{00000000-0005-0000-0000-000030010000}"/>
    <cellStyle name="Calculation 2 3 3 5" xfId="463" xr:uid="{00000000-0005-0000-0000-000031010000}"/>
    <cellStyle name="Calculation 2 3 4" xfId="464" xr:uid="{00000000-0005-0000-0000-000032010000}"/>
    <cellStyle name="Calculation 2 3 4 2" xfId="465" xr:uid="{00000000-0005-0000-0000-000033010000}"/>
    <cellStyle name="Calculation 2 3 4 3" xfId="466" xr:uid="{00000000-0005-0000-0000-000034010000}"/>
    <cellStyle name="Calculation 2 3 4 4" xfId="467" xr:uid="{00000000-0005-0000-0000-000035010000}"/>
    <cellStyle name="Calculation 2 3 4 5" xfId="468" xr:uid="{00000000-0005-0000-0000-000036010000}"/>
    <cellStyle name="Calculation 2 3 5" xfId="469" xr:uid="{00000000-0005-0000-0000-000037010000}"/>
    <cellStyle name="Calculation 2 3 5 2" xfId="470" xr:uid="{00000000-0005-0000-0000-000038010000}"/>
    <cellStyle name="Calculation 2 3 5 3" xfId="471" xr:uid="{00000000-0005-0000-0000-000039010000}"/>
    <cellStyle name="Calculation 2 3 5 4" xfId="472" xr:uid="{00000000-0005-0000-0000-00003A010000}"/>
    <cellStyle name="Calculation 2 3 5 5" xfId="473" xr:uid="{00000000-0005-0000-0000-00003B010000}"/>
    <cellStyle name="Calculation 2 3 6" xfId="474" xr:uid="{00000000-0005-0000-0000-00003C010000}"/>
    <cellStyle name="Calculation 2 3 6 2" xfId="475" xr:uid="{00000000-0005-0000-0000-00003D010000}"/>
    <cellStyle name="Calculation 2 3 6 3" xfId="476" xr:uid="{00000000-0005-0000-0000-00003E010000}"/>
    <cellStyle name="Calculation 2 3 6 4" xfId="477" xr:uid="{00000000-0005-0000-0000-00003F010000}"/>
    <cellStyle name="Calculation 2 3 6 5" xfId="478" xr:uid="{00000000-0005-0000-0000-000040010000}"/>
    <cellStyle name="Calculation 2 3 7" xfId="479" xr:uid="{00000000-0005-0000-0000-000041010000}"/>
    <cellStyle name="Calculation 2 3 7 2" xfId="480" xr:uid="{00000000-0005-0000-0000-000042010000}"/>
    <cellStyle name="Calculation 2 3 7 3" xfId="481" xr:uid="{00000000-0005-0000-0000-000043010000}"/>
    <cellStyle name="Calculation 2 3 7 4" xfId="482" xr:uid="{00000000-0005-0000-0000-000044010000}"/>
    <cellStyle name="Calculation 2 3 7 5" xfId="483" xr:uid="{00000000-0005-0000-0000-000045010000}"/>
    <cellStyle name="Calculation 2 3 8" xfId="484" xr:uid="{00000000-0005-0000-0000-000046010000}"/>
    <cellStyle name="Calculation 2 3 8 2" xfId="485" xr:uid="{00000000-0005-0000-0000-000047010000}"/>
    <cellStyle name="Calculation 2 3 8 3" xfId="486" xr:uid="{00000000-0005-0000-0000-000048010000}"/>
    <cellStyle name="Calculation 2 3 8 4" xfId="487" xr:uid="{00000000-0005-0000-0000-000049010000}"/>
    <cellStyle name="Calculation 2 3 8 5" xfId="488" xr:uid="{00000000-0005-0000-0000-00004A010000}"/>
    <cellStyle name="Calculation 2 3 9" xfId="489" xr:uid="{00000000-0005-0000-0000-00004B010000}"/>
    <cellStyle name="Calculation 2 3 9 2" xfId="490" xr:uid="{00000000-0005-0000-0000-00004C010000}"/>
    <cellStyle name="Calculation 2 3 9 3" xfId="491" xr:uid="{00000000-0005-0000-0000-00004D010000}"/>
    <cellStyle name="Calculation 2 3 9 4" xfId="492" xr:uid="{00000000-0005-0000-0000-00004E010000}"/>
    <cellStyle name="Calculation 2 3 9 5" xfId="493" xr:uid="{00000000-0005-0000-0000-00004F010000}"/>
    <cellStyle name="Calculation 2 4" xfId="494" xr:uid="{00000000-0005-0000-0000-000050010000}"/>
    <cellStyle name="Calculation 2 4 10" xfId="495" xr:uid="{00000000-0005-0000-0000-000051010000}"/>
    <cellStyle name="Calculation 2 4 10 2" xfId="496" xr:uid="{00000000-0005-0000-0000-000052010000}"/>
    <cellStyle name="Calculation 2 4 10 3" xfId="497" xr:uid="{00000000-0005-0000-0000-000053010000}"/>
    <cellStyle name="Calculation 2 4 10 4" xfId="498" xr:uid="{00000000-0005-0000-0000-000054010000}"/>
    <cellStyle name="Calculation 2 4 10 5" xfId="499" xr:uid="{00000000-0005-0000-0000-000055010000}"/>
    <cellStyle name="Calculation 2 4 11" xfId="500" xr:uid="{00000000-0005-0000-0000-000056010000}"/>
    <cellStyle name="Calculation 2 4 11 2" xfId="501" xr:uid="{00000000-0005-0000-0000-000057010000}"/>
    <cellStyle name="Calculation 2 4 11 3" xfId="502" xr:uid="{00000000-0005-0000-0000-000058010000}"/>
    <cellStyle name="Calculation 2 4 11 4" xfId="503" xr:uid="{00000000-0005-0000-0000-000059010000}"/>
    <cellStyle name="Calculation 2 4 11 5" xfId="504" xr:uid="{00000000-0005-0000-0000-00005A010000}"/>
    <cellStyle name="Calculation 2 4 12" xfId="505" xr:uid="{00000000-0005-0000-0000-00005B010000}"/>
    <cellStyle name="Calculation 2 4 12 2" xfId="506" xr:uid="{00000000-0005-0000-0000-00005C010000}"/>
    <cellStyle name="Calculation 2 4 12 3" xfId="507" xr:uid="{00000000-0005-0000-0000-00005D010000}"/>
    <cellStyle name="Calculation 2 4 12 4" xfId="508" xr:uid="{00000000-0005-0000-0000-00005E010000}"/>
    <cellStyle name="Calculation 2 4 12 5" xfId="509" xr:uid="{00000000-0005-0000-0000-00005F010000}"/>
    <cellStyle name="Calculation 2 4 13" xfId="510" xr:uid="{00000000-0005-0000-0000-000060010000}"/>
    <cellStyle name="Calculation 2 4 13 2" xfId="511" xr:uid="{00000000-0005-0000-0000-000061010000}"/>
    <cellStyle name="Calculation 2 4 13 3" xfId="512" xr:uid="{00000000-0005-0000-0000-000062010000}"/>
    <cellStyle name="Calculation 2 4 13 4" xfId="513" xr:uid="{00000000-0005-0000-0000-000063010000}"/>
    <cellStyle name="Calculation 2 4 13 5" xfId="514" xr:uid="{00000000-0005-0000-0000-000064010000}"/>
    <cellStyle name="Calculation 2 4 14" xfId="515" xr:uid="{00000000-0005-0000-0000-000065010000}"/>
    <cellStyle name="Calculation 2 4 14 2" xfId="516" xr:uid="{00000000-0005-0000-0000-000066010000}"/>
    <cellStyle name="Calculation 2 4 14 3" xfId="517" xr:uid="{00000000-0005-0000-0000-000067010000}"/>
    <cellStyle name="Calculation 2 4 14 4" xfId="518" xr:uid="{00000000-0005-0000-0000-000068010000}"/>
    <cellStyle name="Calculation 2 4 14 5" xfId="519" xr:uid="{00000000-0005-0000-0000-000069010000}"/>
    <cellStyle name="Calculation 2 4 15" xfId="520" xr:uid="{00000000-0005-0000-0000-00006A010000}"/>
    <cellStyle name="Calculation 2 4 15 2" xfId="521" xr:uid="{00000000-0005-0000-0000-00006B010000}"/>
    <cellStyle name="Calculation 2 4 15 3" xfId="522" xr:uid="{00000000-0005-0000-0000-00006C010000}"/>
    <cellStyle name="Calculation 2 4 15 4" xfId="523" xr:uid="{00000000-0005-0000-0000-00006D010000}"/>
    <cellStyle name="Calculation 2 4 15 5" xfId="524" xr:uid="{00000000-0005-0000-0000-00006E010000}"/>
    <cellStyle name="Calculation 2 4 16" xfId="525" xr:uid="{00000000-0005-0000-0000-00006F010000}"/>
    <cellStyle name="Calculation 2 4 16 2" xfId="526" xr:uid="{00000000-0005-0000-0000-000070010000}"/>
    <cellStyle name="Calculation 2 4 16 3" xfId="527" xr:uid="{00000000-0005-0000-0000-000071010000}"/>
    <cellStyle name="Calculation 2 4 16 4" xfId="528" xr:uid="{00000000-0005-0000-0000-000072010000}"/>
    <cellStyle name="Calculation 2 4 16 5" xfId="529" xr:uid="{00000000-0005-0000-0000-000073010000}"/>
    <cellStyle name="Calculation 2 4 17" xfId="530" xr:uid="{00000000-0005-0000-0000-000074010000}"/>
    <cellStyle name="Calculation 2 4 17 2" xfId="531" xr:uid="{00000000-0005-0000-0000-000075010000}"/>
    <cellStyle name="Calculation 2 4 17 3" xfId="532" xr:uid="{00000000-0005-0000-0000-000076010000}"/>
    <cellStyle name="Calculation 2 4 17 4" xfId="533" xr:uid="{00000000-0005-0000-0000-000077010000}"/>
    <cellStyle name="Calculation 2 4 17 5" xfId="534" xr:uid="{00000000-0005-0000-0000-000078010000}"/>
    <cellStyle name="Calculation 2 4 18" xfId="535" xr:uid="{00000000-0005-0000-0000-000079010000}"/>
    <cellStyle name="Calculation 2 4 18 2" xfId="536" xr:uid="{00000000-0005-0000-0000-00007A010000}"/>
    <cellStyle name="Calculation 2 4 18 3" xfId="537" xr:uid="{00000000-0005-0000-0000-00007B010000}"/>
    <cellStyle name="Calculation 2 4 18 4" xfId="538" xr:uid="{00000000-0005-0000-0000-00007C010000}"/>
    <cellStyle name="Calculation 2 4 18 5" xfId="539" xr:uid="{00000000-0005-0000-0000-00007D010000}"/>
    <cellStyle name="Calculation 2 4 19" xfId="540" xr:uid="{00000000-0005-0000-0000-00007E010000}"/>
    <cellStyle name="Calculation 2 4 19 2" xfId="541" xr:uid="{00000000-0005-0000-0000-00007F010000}"/>
    <cellStyle name="Calculation 2 4 19 3" xfId="542" xr:uid="{00000000-0005-0000-0000-000080010000}"/>
    <cellStyle name="Calculation 2 4 19 4" xfId="543" xr:uid="{00000000-0005-0000-0000-000081010000}"/>
    <cellStyle name="Calculation 2 4 2" xfId="544" xr:uid="{00000000-0005-0000-0000-000082010000}"/>
    <cellStyle name="Calculation 2 4 2 2" xfId="545" xr:uid="{00000000-0005-0000-0000-000083010000}"/>
    <cellStyle name="Calculation 2 4 2 3" xfId="546" xr:uid="{00000000-0005-0000-0000-000084010000}"/>
    <cellStyle name="Calculation 2 4 2 4" xfId="547" xr:uid="{00000000-0005-0000-0000-000085010000}"/>
    <cellStyle name="Calculation 2 4 2 5" xfId="548" xr:uid="{00000000-0005-0000-0000-000086010000}"/>
    <cellStyle name="Calculation 2 4 20" xfId="549" xr:uid="{00000000-0005-0000-0000-000087010000}"/>
    <cellStyle name="Calculation 2 4 20 2" xfId="550" xr:uid="{00000000-0005-0000-0000-000088010000}"/>
    <cellStyle name="Calculation 2 4 20 3" xfId="551" xr:uid="{00000000-0005-0000-0000-000089010000}"/>
    <cellStyle name="Calculation 2 4 20 4" xfId="552" xr:uid="{00000000-0005-0000-0000-00008A010000}"/>
    <cellStyle name="Calculation 2 4 21" xfId="553" xr:uid="{00000000-0005-0000-0000-00008B010000}"/>
    <cellStyle name="Calculation 2 4 21 2" xfId="554" xr:uid="{00000000-0005-0000-0000-00008C010000}"/>
    <cellStyle name="Calculation 2 4 21 3" xfId="555" xr:uid="{00000000-0005-0000-0000-00008D010000}"/>
    <cellStyle name="Calculation 2 4 21 4" xfId="556" xr:uid="{00000000-0005-0000-0000-00008E010000}"/>
    <cellStyle name="Calculation 2 4 22" xfId="557" xr:uid="{00000000-0005-0000-0000-00008F010000}"/>
    <cellStyle name="Calculation 2 4 22 2" xfId="558" xr:uid="{00000000-0005-0000-0000-000090010000}"/>
    <cellStyle name="Calculation 2 4 22 3" xfId="559" xr:uid="{00000000-0005-0000-0000-000091010000}"/>
    <cellStyle name="Calculation 2 4 22 4" xfId="560" xr:uid="{00000000-0005-0000-0000-000092010000}"/>
    <cellStyle name="Calculation 2 4 23" xfId="561" xr:uid="{00000000-0005-0000-0000-000093010000}"/>
    <cellStyle name="Calculation 2 4 3" xfId="562" xr:uid="{00000000-0005-0000-0000-000094010000}"/>
    <cellStyle name="Calculation 2 4 3 2" xfId="563" xr:uid="{00000000-0005-0000-0000-000095010000}"/>
    <cellStyle name="Calculation 2 4 3 3" xfId="564" xr:uid="{00000000-0005-0000-0000-000096010000}"/>
    <cellStyle name="Calculation 2 4 3 4" xfId="565" xr:uid="{00000000-0005-0000-0000-000097010000}"/>
    <cellStyle name="Calculation 2 4 3 5" xfId="566" xr:uid="{00000000-0005-0000-0000-000098010000}"/>
    <cellStyle name="Calculation 2 4 4" xfId="567" xr:uid="{00000000-0005-0000-0000-000099010000}"/>
    <cellStyle name="Calculation 2 4 4 2" xfId="568" xr:uid="{00000000-0005-0000-0000-00009A010000}"/>
    <cellStyle name="Calculation 2 4 4 3" xfId="569" xr:uid="{00000000-0005-0000-0000-00009B010000}"/>
    <cellStyle name="Calculation 2 4 4 4" xfId="570" xr:uid="{00000000-0005-0000-0000-00009C010000}"/>
    <cellStyle name="Calculation 2 4 4 5" xfId="571" xr:uid="{00000000-0005-0000-0000-00009D010000}"/>
    <cellStyle name="Calculation 2 4 5" xfId="572" xr:uid="{00000000-0005-0000-0000-00009E010000}"/>
    <cellStyle name="Calculation 2 4 5 2" xfId="573" xr:uid="{00000000-0005-0000-0000-00009F010000}"/>
    <cellStyle name="Calculation 2 4 5 3" xfId="574" xr:uid="{00000000-0005-0000-0000-0000A0010000}"/>
    <cellStyle name="Calculation 2 4 5 4" xfId="575" xr:uid="{00000000-0005-0000-0000-0000A1010000}"/>
    <cellStyle name="Calculation 2 4 5 5" xfId="576" xr:uid="{00000000-0005-0000-0000-0000A2010000}"/>
    <cellStyle name="Calculation 2 4 6" xfId="577" xr:uid="{00000000-0005-0000-0000-0000A3010000}"/>
    <cellStyle name="Calculation 2 4 6 2" xfId="578" xr:uid="{00000000-0005-0000-0000-0000A4010000}"/>
    <cellStyle name="Calculation 2 4 6 3" xfId="579" xr:uid="{00000000-0005-0000-0000-0000A5010000}"/>
    <cellStyle name="Calculation 2 4 6 4" xfId="580" xr:uid="{00000000-0005-0000-0000-0000A6010000}"/>
    <cellStyle name="Calculation 2 4 6 5" xfId="581" xr:uid="{00000000-0005-0000-0000-0000A7010000}"/>
    <cellStyle name="Calculation 2 4 7" xfId="582" xr:uid="{00000000-0005-0000-0000-0000A8010000}"/>
    <cellStyle name="Calculation 2 4 7 2" xfId="583" xr:uid="{00000000-0005-0000-0000-0000A9010000}"/>
    <cellStyle name="Calculation 2 4 7 3" xfId="584" xr:uid="{00000000-0005-0000-0000-0000AA010000}"/>
    <cellStyle name="Calculation 2 4 7 4" xfId="585" xr:uid="{00000000-0005-0000-0000-0000AB010000}"/>
    <cellStyle name="Calculation 2 4 7 5" xfId="586" xr:uid="{00000000-0005-0000-0000-0000AC010000}"/>
    <cellStyle name="Calculation 2 4 8" xfId="587" xr:uid="{00000000-0005-0000-0000-0000AD010000}"/>
    <cellStyle name="Calculation 2 4 8 2" xfId="588" xr:uid="{00000000-0005-0000-0000-0000AE010000}"/>
    <cellStyle name="Calculation 2 4 8 3" xfId="589" xr:uid="{00000000-0005-0000-0000-0000AF010000}"/>
    <cellStyle name="Calculation 2 4 8 4" xfId="590" xr:uid="{00000000-0005-0000-0000-0000B0010000}"/>
    <cellStyle name="Calculation 2 4 8 5" xfId="591" xr:uid="{00000000-0005-0000-0000-0000B1010000}"/>
    <cellStyle name="Calculation 2 4 9" xfId="592" xr:uid="{00000000-0005-0000-0000-0000B2010000}"/>
    <cellStyle name="Calculation 2 4 9 2" xfId="593" xr:uid="{00000000-0005-0000-0000-0000B3010000}"/>
    <cellStyle name="Calculation 2 4 9 3" xfId="594" xr:uid="{00000000-0005-0000-0000-0000B4010000}"/>
    <cellStyle name="Calculation 2 4 9 4" xfId="595" xr:uid="{00000000-0005-0000-0000-0000B5010000}"/>
    <cellStyle name="Calculation 2 4 9 5" xfId="596" xr:uid="{00000000-0005-0000-0000-0000B6010000}"/>
    <cellStyle name="Calculation 2 5" xfId="597" xr:uid="{00000000-0005-0000-0000-0000B7010000}"/>
    <cellStyle name="Calculation 2 5 10" xfId="598" xr:uid="{00000000-0005-0000-0000-0000B8010000}"/>
    <cellStyle name="Calculation 2 5 10 2" xfId="599" xr:uid="{00000000-0005-0000-0000-0000B9010000}"/>
    <cellStyle name="Calculation 2 5 10 3" xfId="600" xr:uid="{00000000-0005-0000-0000-0000BA010000}"/>
    <cellStyle name="Calculation 2 5 10 4" xfId="601" xr:uid="{00000000-0005-0000-0000-0000BB010000}"/>
    <cellStyle name="Calculation 2 5 10 5" xfId="602" xr:uid="{00000000-0005-0000-0000-0000BC010000}"/>
    <cellStyle name="Calculation 2 5 11" xfId="603" xr:uid="{00000000-0005-0000-0000-0000BD010000}"/>
    <cellStyle name="Calculation 2 5 11 2" xfId="604" xr:uid="{00000000-0005-0000-0000-0000BE010000}"/>
    <cellStyle name="Calculation 2 5 11 3" xfId="605" xr:uid="{00000000-0005-0000-0000-0000BF010000}"/>
    <cellStyle name="Calculation 2 5 11 4" xfId="606" xr:uid="{00000000-0005-0000-0000-0000C0010000}"/>
    <cellStyle name="Calculation 2 5 11 5" xfId="607" xr:uid="{00000000-0005-0000-0000-0000C1010000}"/>
    <cellStyle name="Calculation 2 5 12" xfId="608" xr:uid="{00000000-0005-0000-0000-0000C2010000}"/>
    <cellStyle name="Calculation 2 5 12 2" xfId="609" xr:uid="{00000000-0005-0000-0000-0000C3010000}"/>
    <cellStyle name="Calculation 2 5 12 3" xfId="610" xr:uid="{00000000-0005-0000-0000-0000C4010000}"/>
    <cellStyle name="Calculation 2 5 12 4" xfId="611" xr:uid="{00000000-0005-0000-0000-0000C5010000}"/>
    <cellStyle name="Calculation 2 5 12 5" xfId="612" xr:uid="{00000000-0005-0000-0000-0000C6010000}"/>
    <cellStyle name="Calculation 2 5 13" xfId="613" xr:uid="{00000000-0005-0000-0000-0000C7010000}"/>
    <cellStyle name="Calculation 2 5 13 2" xfId="614" xr:uid="{00000000-0005-0000-0000-0000C8010000}"/>
    <cellStyle name="Calculation 2 5 13 3" xfId="615" xr:uid="{00000000-0005-0000-0000-0000C9010000}"/>
    <cellStyle name="Calculation 2 5 13 4" xfId="616" xr:uid="{00000000-0005-0000-0000-0000CA010000}"/>
    <cellStyle name="Calculation 2 5 13 5" xfId="617" xr:uid="{00000000-0005-0000-0000-0000CB010000}"/>
    <cellStyle name="Calculation 2 5 14" xfId="618" xr:uid="{00000000-0005-0000-0000-0000CC010000}"/>
    <cellStyle name="Calculation 2 5 14 2" xfId="619" xr:uid="{00000000-0005-0000-0000-0000CD010000}"/>
    <cellStyle name="Calculation 2 5 14 3" xfId="620" xr:uid="{00000000-0005-0000-0000-0000CE010000}"/>
    <cellStyle name="Calculation 2 5 14 4" xfId="621" xr:uid="{00000000-0005-0000-0000-0000CF010000}"/>
    <cellStyle name="Calculation 2 5 14 5" xfId="622" xr:uid="{00000000-0005-0000-0000-0000D0010000}"/>
    <cellStyle name="Calculation 2 5 15" xfId="623" xr:uid="{00000000-0005-0000-0000-0000D1010000}"/>
    <cellStyle name="Calculation 2 5 15 2" xfId="624" xr:uid="{00000000-0005-0000-0000-0000D2010000}"/>
    <cellStyle name="Calculation 2 5 15 3" xfId="625" xr:uid="{00000000-0005-0000-0000-0000D3010000}"/>
    <cellStyle name="Calculation 2 5 15 4" xfId="626" xr:uid="{00000000-0005-0000-0000-0000D4010000}"/>
    <cellStyle name="Calculation 2 5 15 5" xfId="627" xr:uid="{00000000-0005-0000-0000-0000D5010000}"/>
    <cellStyle name="Calculation 2 5 16" xfId="628" xr:uid="{00000000-0005-0000-0000-0000D6010000}"/>
    <cellStyle name="Calculation 2 5 16 2" xfId="629" xr:uid="{00000000-0005-0000-0000-0000D7010000}"/>
    <cellStyle name="Calculation 2 5 16 3" xfId="630" xr:uid="{00000000-0005-0000-0000-0000D8010000}"/>
    <cellStyle name="Calculation 2 5 16 4" xfId="631" xr:uid="{00000000-0005-0000-0000-0000D9010000}"/>
    <cellStyle name="Calculation 2 5 16 5" xfId="632" xr:uid="{00000000-0005-0000-0000-0000DA010000}"/>
    <cellStyle name="Calculation 2 5 17" xfId="633" xr:uid="{00000000-0005-0000-0000-0000DB010000}"/>
    <cellStyle name="Calculation 2 5 17 2" xfId="634" xr:uid="{00000000-0005-0000-0000-0000DC010000}"/>
    <cellStyle name="Calculation 2 5 17 3" xfId="635" xr:uid="{00000000-0005-0000-0000-0000DD010000}"/>
    <cellStyle name="Calculation 2 5 17 4" xfId="636" xr:uid="{00000000-0005-0000-0000-0000DE010000}"/>
    <cellStyle name="Calculation 2 5 17 5" xfId="637" xr:uid="{00000000-0005-0000-0000-0000DF010000}"/>
    <cellStyle name="Calculation 2 5 18" xfId="638" xr:uid="{00000000-0005-0000-0000-0000E0010000}"/>
    <cellStyle name="Calculation 2 5 18 2" xfId="639" xr:uid="{00000000-0005-0000-0000-0000E1010000}"/>
    <cellStyle name="Calculation 2 5 18 3" xfId="640" xr:uid="{00000000-0005-0000-0000-0000E2010000}"/>
    <cellStyle name="Calculation 2 5 18 4" xfId="641" xr:uid="{00000000-0005-0000-0000-0000E3010000}"/>
    <cellStyle name="Calculation 2 5 18 5" xfId="642" xr:uid="{00000000-0005-0000-0000-0000E4010000}"/>
    <cellStyle name="Calculation 2 5 19" xfId="643" xr:uid="{00000000-0005-0000-0000-0000E5010000}"/>
    <cellStyle name="Calculation 2 5 19 2" xfId="644" xr:uid="{00000000-0005-0000-0000-0000E6010000}"/>
    <cellStyle name="Calculation 2 5 19 3" xfId="645" xr:uid="{00000000-0005-0000-0000-0000E7010000}"/>
    <cellStyle name="Calculation 2 5 19 4" xfId="646" xr:uid="{00000000-0005-0000-0000-0000E8010000}"/>
    <cellStyle name="Calculation 2 5 2" xfId="647" xr:uid="{00000000-0005-0000-0000-0000E9010000}"/>
    <cellStyle name="Calculation 2 5 2 2" xfId="648" xr:uid="{00000000-0005-0000-0000-0000EA010000}"/>
    <cellStyle name="Calculation 2 5 2 3" xfId="649" xr:uid="{00000000-0005-0000-0000-0000EB010000}"/>
    <cellStyle name="Calculation 2 5 2 4" xfId="650" xr:uid="{00000000-0005-0000-0000-0000EC010000}"/>
    <cellStyle name="Calculation 2 5 2 5" xfId="651" xr:uid="{00000000-0005-0000-0000-0000ED010000}"/>
    <cellStyle name="Calculation 2 5 20" xfId="652" xr:uid="{00000000-0005-0000-0000-0000EE010000}"/>
    <cellStyle name="Calculation 2 5 20 2" xfId="653" xr:uid="{00000000-0005-0000-0000-0000EF010000}"/>
    <cellStyle name="Calculation 2 5 20 3" xfId="654" xr:uid="{00000000-0005-0000-0000-0000F0010000}"/>
    <cellStyle name="Calculation 2 5 20 4" xfId="655" xr:uid="{00000000-0005-0000-0000-0000F1010000}"/>
    <cellStyle name="Calculation 2 5 21" xfId="656" xr:uid="{00000000-0005-0000-0000-0000F2010000}"/>
    <cellStyle name="Calculation 2 5 21 2" xfId="657" xr:uid="{00000000-0005-0000-0000-0000F3010000}"/>
    <cellStyle name="Calculation 2 5 21 3" xfId="658" xr:uid="{00000000-0005-0000-0000-0000F4010000}"/>
    <cellStyle name="Calculation 2 5 21 4" xfId="659" xr:uid="{00000000-0005-0000-0000-0000F5010000}"/>
    <cellStyle name="Calculation 2 5 22" xfId="660" xr:uid="{00000000-0005-0000-0000-0000F6010000}"/>
    <cellStyle name="Calculation 2 5 22 2" xfId="661" xr:uid="{00000000-0005-0000-0000-0000F7010000}"/>
    <cellStyle name="Calculation 2 5 22 3" xfId="662" xr:uid="{00000000-0005-0000-0000-0000F8010000}"/>
    <cellStyle name="Calculation 2 5 22 4" xfId="663" xr:uid="{00000000-0005-0000-0000-0000F9010000}"/>
    <cellStyle name="Calculation 2 5 23" xfId="664" xr:uid="{00000000-0005-0000-0000-0000FA010000}"/>
    <cellStyle name="Calculation 2 5 3" xfId="665" xr:uid="{00000000-0005-0000-0000-0000FB010000}"/>
    <cellStyle name="Calculation 2 5 3 2" xfId="666" xr:uid="{00000000-0005-0000-0000-0000FC010000}"/>
    <cellStyle name="Calculation 2 5 3 3" xfId="667" xr:uid="{00000000-0005-0000-0000-0000FD010000}"/>
    <cellStyle name="Calculation 2 5 3 4" xfId="668" xr:uid="{00000000-0005-0000-0000-0000FE010000}"/>
    <cellStyle name="Calculation 2 5 3 5" xfId="669" xr:uid="{00000000-0005-0000-0000-0000FF010000}"/>
    <cellStyle name="Calculation 2 5 4" xfId="670" xr:uid="{00000000-0005-0000-0000-000000020000}"/>
    <cellStyle name="Calculation 2 5 4 2" xfId="671" xr:uid="{00000000-0005-0000-0000-000001020000}"/>
    <cellStyle name="Calculation 2 5 4 3" xfId="672" xr:uid="{00000000-0005-0000-0000-000002020000}"/>
    <cellStyle name="Calculation 2 5 4 4" xfId="673" xr:uid="{00000000-0005-0000-0000-000003020000}"/>
    <cellStyle name="Calculation 2 5 4 5" xfId="674" xr:uid="{00000000-0005-0000-0000-000004020000}"/>
    <cellStyle name="Calculation 2 5 5" xfId="675" xr:uid="{00000000-0005-0000-0000-000005020000}"/>
    <cellStyle name="Calculation 2 5 5 2" xfId="676" xr:uid="{00000000-0005-0000-0000-000006020000}"/>
    <cellStyle name="Calculation 2 5 5 3" xfId="677" xr:uid="{00000000-0005-0000-0000-000007020000}"/>
    <cellStyle name="Calculation 2 5 5 4" xfId="678" xr:uid="{00000000-0005-0000-0000-000008020000}"/>
    <cellStyle name="Calculation 2 5 5 5" xfId="679" xr:uid="{00000000-0005-0000-0000-000009020000}"/>
    <cellStyle name="Calculation 2 5 6" xfId="680" xr:uid="{00000000-0005-0000-0000-00000A020000}"/>
    <cellStyle name="Calculation 2 5 6 2" xfId="681" xr:uid="{00000000-0005-0000-0000-00000B020000}"/>
    <cellStyle name="Calculation 2 5 6 3" xfId="682" xr:uid="{00000000-0005-0000-0000-00000C020000}"/>
    <cellStyle name="Calculation 2 5 6 4" xfId="683" xr:uid="{00000000-0005-0000-0000-00000D020000}"/>
    <cellStyle name="Calculation 2 5 6 5" xfId="684" xr:uid="{00000000-0005-0000-0000-00000E020000}"/>
    <cellStyle name="Calculation 2 5 7" xfId="685" xr:uid="{00000000-0005-0000-0000-00000F020000}"/>
    <cellStyle name="Calculation 2 5 7 2" xfId="686" xr:uid="{00000000-0005-0000-0000-000010020000}"/>
    <cellStyle name="Calculation 2 5 7 3" xfId="687" xr:uid="{00000000-0005-0000-0000-000011020000}"/>
    <cellStyle name="Calculation 2 5 7 4" xfId="688" xr:uid="{00000000-0005-0000-0000-000012020000}"/>
    <cellStyle name="Calculation 2 5 7 5" xfId="689" xr:uid="{00000000-0005-0000-0000-000013020000}"/>
    <cellStyle name="Calculation 2 5 8" xfId="690" xr:uid="{00000000-0005-0000-0000-000014020000}"/>
    <cellStyle name="Calculation 2 5 8 2" xfId="691" xr:uid="{00000000-0005-0000-0000-000015020000}"/>
    <cellStyle name="Calculation 2 5 8 3" xfId="692" xr:uid="{00000000-0005-0000-0000-000016020000}"/>
    <cellStyle name="Calculation 2 5 8 4" xfId="693" xr:uid="{00000000-0005-0000-0000-000017020000}"/>
    <cellStyle name="Calculation 2 5 8 5" xfId="694" xr:uid="{00000000-0005-0000-0000-000018020000}"/>
    <cellStyle name="Calculation 2 5 9" xfId="695" xr:uid="{00000000-0005-0000-0000-000019020000}"/>
    <cellStyle name="Calculation 2 5 9 2" xfId="696" xr:uid="{00000000-0005-0000-0000-00001A020000}"/>
    <cellStyle name="Calculation 2 5 9 3" xfId="697" xr:uid="{00000000-0005-0000-0000-00001B020000}"/>
    <cellStyle name="Calculation 2 5 9 4" xfId="698" xr:uid="{00000000-0005-0000-0000-00001C020000}"/>
    <cellStyle name="Calculation 2 5 9 5" xfId="699" xr:uid="{00000000-0005-0000-0000-00001D020000}"/>
    <cellStyle name="Calculation 2 6" xfId="700" xr:uid="{00000000-0005-0000-0000-00001E020000}"/>
    <cellStyle name="Calculation 2 6 10" xfId="701" xr:uid="{00000000-0005-0000-0000-00001F020000}"/>
    <cellStyle name="Calculation 2 6 10 2" xfId="702" xr:uid="{00000000-0005-0000-0000-000020020000}"/>
    <cellStyle name="Calculation 2 6 10 3" xfId="703" xr:uid="{00000000-0005-0000-0000-000021020000}"/>
    <cellStyle name="Calculation 2 6 10 4" xfId="704" xr:uid="{00000000-0005-0000-0000-000022020000}"/>
    <cellStyle name="Calculation 2 6 10 5" xfId="705" xr:uid="{00000000-0005-0000-0000-000023020000}"/>
    <cellStyle name="Calculation 2 6 11" xfId="706" xr:uid="{00000000-0005-0000-0000-000024020000}"/>
    <cellStyle name="Calculation 2 6 11 2" xfId="707" xr:uid="{00000000-0005-0000-0000-000025020000}"/>
    <cellStyle name="Calculation 2 6 11 3" xfId="708" xr:uid="{00000000-0005-0000-0000-000026020000}"/>
    <cellStyle name="Calculation 2 6 11 4" xfId="709" xr:uid="{00000000-0005-0000-0000-000027020000}"/>
    <cellStyle name="Calculation 2 6 11 5" xfId="710" xr:uid="{00000000-0005-0000-0000-000028020000}"/>
    <cellStyle name="Calculation 2 6 12" xfId="711" xr:uid="{00000000-0005-0000-0000-000029020000}"/>
    <cellStyle name="Calculation 2 6 12 2" xfId="712" xr:uid="{00000000-0005-0000-0000-00002A020000}"/>
    <cellStyle name="Calculation 2 6 12 3" xfId="713" xr:uid="{00000000-0005-0000-0000-00002B020000}"/>
    <cellStyle name="Calculation 2 6 12 4" xfId="714" xr:uid="{00000000-0005-0000-0000-00002C020000}"/>
    <cellStyle name="Calculation 2 6 12 5" xfId="715" xr:uid="{00000000-0005-0000-0000-00002D020000}"/>
    <cellStyle name="Calculation 2 6 13" xfId="716" xr:uid="{00000000-0005-0000-0000-00002E020000}"/>
    <cellStyle name="Calculation 2 6 13 2" xfId="717" xr:uid="{00000000-0005-0000-0000-00002F020000}"/>
    <cellStyle name="Calculation 2 6 13 3" xfId="718" xr:uid="{00000000-0005-0000-0000-000030020000}"/>
    <cellStyle name="Calculation 2 6 13 4" xfId="719" xr:uid="{00000000-0005-0000-0000-000031020000}"/>
    <cellStyle name="Calculation 2 6 13 5" xfId="720" xr:uid="{00000000-0005-0000-0000-000032020000}"/>
    <cellStyle name="Calculation 2 6 14" xfId="721" xr:uid="{00000000-0005-0000-0000-000033020000}"/>
    <cellStyle name="Calculation 2 6 14 2" xfId="722" xr:uid="{00000000-0005-0000-0000-000034020000}"/>
    <cellStyle name="Calculation 2 6 14 3" xfId="723" xr:uid="{00000000-0005-0000-0000-000035020000}"/>
    <cellStyle name="Calculation 2 6 14 4" xfId="724" xr:uid="{00000000-0005-0000-0000-000036020000}"/>
    <cellStyle name="Calculation 2 6 14 5" xfId="725" xr:uid="{00000000-0005-0000-0000-000037020000}"/>
    <cellStyle name="Calculation 2 6 15" xfId="726" xr:uid="{00000000-0005-0000-0000-000038020000}"/>
    <cellStyle name="Calculation 2 6 15 2" xfId="727" xr:uid="{00000000-0005-0000-0000-000039020000}"/>
    <cellStyle name="Calculation 2 6 15 3" xfId="728" xr:uid="{00000000-0005-0000-0000-00003A020000}"/>
    <cellStyle name="Calculation 2 6 15 4" xfId="729" xr:uid="{00000000-0005-0000-0000-00003B020000}"/>
    <cellStyle name="Calculation 2 6 15 5" xfId="730" xr:uid="{00000000-0005-0000-0000-00003C020000}"/>
    <cellStyle name="Calculation 2 6 16" xfId="731" xr:uid="{00000000-0005-0000-0000-00003D020000}"/>
    <cellStyle name="Calculation 2 6 16 2" xfId="732" xr:uid="{00000000-0005-0000-0000-00003E020000}"/>
    <cellStyle name="Calculation 2 6 16 3" xfId="733" xr:uid="{00000000-0005-0000-0000-00003F020000}"/>
    <cellStyle name="Calculation 2 6 16 4" xfId="734" xr:uid="{00000000-0005-0000-0000-000040020000}"/>
    <cellStyle name="Calculation 2 6 16 5" xfId="735" xr:uid="{00000000-0005-0000-0000-000041020000}"/>
    <cellStyle name="Calculation 2 6 17" xfId="736" xr:uid="{00000000-0005-0000-0000-000042020000}"/>
    <cellStyle name="Calculation 2 6 17 2" xfId="737" xr:uid="{00000000-0005-0000-0000-000043020000}"/>
    <cellStyle name="Calculation 2 6 17 3" xfId="738" xr:uid="{00000000-0005-0000-0000-000044020000}"/>
    <cellStyle name="Calculation 2 6 17 4" xfId="739" xr:uid="{00000000-0005-0000-0000-000045020000}"/>
    <cellStyle name="Calculation 2 6 17 5" xfId="740" xr:uid="{00000000-0005-0000-0000-000046020000}"/>
    <cellStyle name="Calculation 2 6 18" xfId="741" xr:uid="{00000000-0005-0000-0000-000047020000}"/>
    <cellStyle name="Calculation 2 6 18 2" xfId="742" xr:uid="{00000000-0005-0000-0000-000048020000}"/>
    <cellStyle name="Calculation 2 6 18 3" xfId="743" xr:uid="{00000000-0005-0000-0000-000049020000}"/>
    <cellStyle name="Calculation 2 6 18 4" xfId="744" xr:uid="{00000000-0005-0000-0000-00004A020000}"/>
    <cellStyle name="Calculation 2 6 18 5" xfId="745" xr:uid="{00000000-0005-0000-0000-00004B020000}"/>
    <cellStyle name="Calculation 2 6 19" xfId="746" xr:uid="{00000000-0005-0000-0000-00004C020000}"/>
    <cellStyle name="Calculation 2 6 19 2" xfId="747" xr:uid="{00000000-0005-0000-0000-00004D020000}"/>
    <cellStyle name="Calculation 2 6 19 3" xfId="748" xr:uid="{00000000-0005-0000-0000-00004E020000}"/>
    <cellStyle name="Calculation 2 6 19 4" xfId="749" xr:uid="{00000000-0005-0000-0000-00004F020000}"/>
    <cellStyle name="Calculation 2 6 19 5" xfId="750" xr:uid="{00000000-0005-0000-0000-000050020000}"/>
    <cellStyle name="Calculation 2 6 2" xfId="751" xr:uid="{00000000-0005-0000-0000-000051020000}"/>
    <cellStyle name="Calculation 2 6 2 2" xfId="752" xr:uid="{00000000-0005-0000-0000-000052020000}"/>
    <cellStyle name="Calculation 2 6 2 3" xfId="753" xr:uid="{00000000-0005-0000-0000-000053020000}"/>
    <cellStyle name="Calculation 2 6 2 4" xfId="754" xr:uid="{00000000-0005-0000-0000-000054020000}"/>
    <cellStyle name="Calculation 2 6 2 5" xfId="755" xr:uid="{00000000-0005-0000-0000-000055020000}"/>
    <cellStyle name="Calculation 2 6 20" xfId="756" xr:uid="{00000000-0005-0000-0000-000056020000}"/>
    <cellStyle name="Calculation 2 6 20 2" xfId="757" xr:uid="{00000000-0005-0000-0000-000057020000}"/>
    <cellStyle name="Calculation 2 6 20 3" xfId="758" xr:uid="{00000000-0005-0000-0000-000058020000}"/>
    <cellStyle name="Calculation 2 6 20 4" xfId="759" xr:uid="{00000000-0005-0000-0000-000059020000}"/>
    <cellStyle name="Calculation 2 6 20 5" xfId="760" xr:uid="{00000000-0005-0000-0000-00005A020000}"/>
    <cellStyle name="Calculation 2 6 21" xfId="761" xr:uid="{00000000-0005-0000-0000-00005B020000}"/>
    <cellStyle name="Calculation 2 6 21 2" xfId="762" xr:uid="{00000000-0005-0000-0000-00005C020000}"/>
    <cellStyle name="Calculation 2 6 21 3" xfId="763" xr:uid="{00000000-0005-0000-0000-00005D020000}"/>
    <cellStyle name="Calculation 2 6 21 4" xfId="764" xr:uid="{00000000-0005-0000-0000-00005E020000}"/>
    <cellStyle name="Calculation 2 6 21 5" xfId="765" xr:uid="{00000000-0005-0000-0000-00005F020000}"/>
    <cellStyle name="Calculation 2 6 22" xfId="766" xr:uid="{00000000-0005-0000-0000-000060020000}"/>
    <cellStyle name="Calculation 2 6 22 2" xfId="767" xr:uid="{00000000-0005-0000-0000-000061020000}"/>
    <cellStyle name="Calculation 2 6 22 3" xfId="768" xr:uid="{00000000-0005-0000-0000-000062020000}"/>
    <cellStyle name="Calculation 2 6 22 4" xfId="769" xr:uid="{00000000-0005-0000-0000-000063020000}"/>
    <cellStyle name="Calculation 2 6 23" xfId="770" xr:uid="{00000000-0005-0000-0000-000064020000}"/>
    <cellStyle name="Calculation 2 6 23 2" xfId="771" xr:uid="{00000000-0005-0000-0000-000065020000}"/>
    <cellStyle name="Calculation 2 6 23 3" xfId="772" xr:uid="{00000000-0005-0000-0000-000066020000}"/>
    <cellStyle name="Calculation 2 6 23 4" xfId="773" xr:uid="{00000000-0005-0000-0000-000067020000}"/>
    <cellStyle name="Calculation 2 6 24" xfId="774" xr:uid="{00000000-0005-0000-0000-000068020000}"/>
    <cellStyle name="Calculation 2 6 24 2" xfId="775" xr:uid="{00000000-0005-0000-0000-000069020000}"/>
    <cellStyle name="Calculation 2 6 24 3" xfId="776" xr:uid="{00000000-0005-0000-0000-00006A020000}"/>
    <cellStyle name="Calculation 2 6 24 4" xfId="777" xr:uid="{00000000-0005-0000-0000-00006B020000}"/>
    <cellStyle name="Calculation 2 6 25" xfId="778" xr:uid="{00000000-0005-0000-0000-00006C020000}"/>
    <cellStyle name="Calculation 2 6 25 2" xfId="779" xr:uid="{00000000-0005-0000-0000-00006D020000}"/>
    <cellStyle name="Calculation 2 6 25 3" xfId="780" xr:uid="{00000000-0005-0000-0000-00006E020000}"/>
    <cellStyle name="Calculation 2 6 25 4" xfId="781" xr:uid="{00000000-0005-0000-0000-00006F020000}"/>
    <cellStyle name="Calculation 2 6 3" xfId="782" xr:uid="{00000000-0005-0000-0000-000070020000}"/>
    <cellStyle name="Calculation 2 6 3 2" xfId="783" xr:uid="{00000000-0005-0000-0000-000071020000}"/>
    <cellStyle name="Calculation 2 6 3 3" xfId="784" xr:uid="{00000000-0005-0000-0000-000072020000}"/>
    <cellStyle name="Calculation 2 6 3 4" xfId="785" xr:uid="{00000000-0005-0000-0000-000073020000}"/>
    <cellStyle name="Calculation 2 6 3 5" xfId="786" xr:uid="{00000000-0005-0000-0000-000074020000}"/>
    <cellStyle name="Calculation 2 6 4" xfId="787" xr:uid="{00000000-0005-0000-0000-000075020000}"/>
    <cellStyle name="Calculation 2 6 4 2" xfId="788" xr:uid="{00000000-0005-0000-0000-000076020000}"/>
    <cellStyle name="Calculation 2 6 4 3" xfId="789" xr:uid="{00000000-0005-0000-0000-000077020000}"/>
    <cellStyle name="Calculation 2 6 4 4" xfId="790" xr:uid="{00000000-0005-0000-0000-000078020000}"/>
    <cellStyle name="Calculation 2 6 4 5" xfId="791" xr:uid="{00000000-0005-0000-0000-000079020000}"/>
    <cellStyle name="Calculation 2 6 5" xfId="792" xr:uid="{00000000-0005-0000-0000-00007A020000}"/>
    <cellStyle name="Calculation 2 6 5 2" xfId="793" xr:uid="{00000000-0005-0000-0000-00007B020000}"/>
    <cellStyle name="Calculation 2 6 5 3" xfId="794" xr:uid="{00000000-0005-0000-0000-00007C020000}"/>
    <cellStyle name="Calculation 2 6 5 4" xfId="795" xr:uid="{00000000-0005-0000-0000-00007D020000}"/>
    <cellStyle name="Calculation 2 6 5 5" xfId="796" xr:uid="{00000000-0005-0000-0000-00007E020000}"/>
    <cellStyle name="Calculation 2 6 6" xfId="797" xr:uid="{00000000-0005-0000-0000-00007F020000}"/>
    <cellStyle name="Calculation 2 6 6 2" xfId="798" xr:uid="{00000000-0005-0000-0000-000080020000}"/>
    <cellStyle name="Calculation 2 6 6 3" xfId="799" xr:uid="{00000000-0005-0000-0000-000081020000}"/>
    <cellStyle name="Calculation 2 6 6 4" xfId="800" xr:uid="{00000000-0005-0000-0000-000082020000}"/>
    <cellStyle name="Calculation 2 6 6 5" xfId="801" xr:uid="{00000000-0005-0000-0000-000083020000}"/>
    <cellStyle name="Calculation 2 6 7" xfId="802" xr:uid="{00000000-0005-0000-0000-000084020000}"/>
    <cellStyle name="Calculation 2 6 7 2" xfId="803" xr:uid="{00000000-0005-0000-0000-000085020000}"/>
    <cellStyle name="Calculation 2 6 7 3" xfId="804" xr:uid="{00000000-0005-0000-0000-000086020000}"/>
    <cellStyle name="Calculation 2 6 7 4" xfId="805" xr:uid="{00000000-0005-0000-0000-000087020000}"/>
    <cellStyle name="Calculation 2 6 7 5" xfId="806" xr:uid="{00000000-0005-0000-0000-000088020000}"/>
    <cellStyle name="Calculation 2 6 8" xfId="807" xr:uid="{00000000-0005-0000-0000-000089020000}"/>
    <cellStyle name="Calculation 2 6 8 2" xfId="808" xr:uid="{00000000-0005-0000-0000-00008A020000}"/>
    <cellStyle name="Calculation 2 6 8 3" xfId="809" xr:uid="{00000000-0005-0000-0000-00008B020000}"/>
    <cellStyle name="Calculation 2 6 8 4" xfId="810" xr:uid="{00000000-0005-0000-0000-00008C020000}"/>
    <cellStyle name="Calculation 2 6 8 5" xfId="811" xr:uid="{00000000-0005-0000-0000-00008D020000}"/>
    <cellStyle name="Calculation 2 6 9" xfId="812" xr:uid="{00000000-0005-0000-0000-00008E020000}"/>
    <cellStyle name="Calculation 2 6 9 2" xfId="813" xr:uid="{00000000-0005-0000-0000-00008F020000}"/>
    <cellStyle name="Calculation 2 6 9 3" xfId="814" xr:uid="{00000000-0005-0000-0000-000090020000}"/>
    <cellStyle name="Calculation 2 6 9 4" xfId="815" xr:uid="{00000000-0005-0000-0000-000091020000}"/>
    <cellStyle name="Calculation 2 6 9 5" xfId="816" xr:uid="{00000000-0005-0000-0000-000092020000}"/>
    <cellStyle name="Calculation 2 7" xfId="817" xr:uid="{00000000-0005-0000-0000-000093020000}"/>
    <cellStyle name="Calculation 2 7 2" xfId="818" xr:uid="{00000000-0005-0000-0000-000094020000}"/>
    <cellStyle name="Calculation 2 7 3" xfId="819" xr:uid="{00000000-0005-0000-0000-000095020000}"/>
    <cellStyle name="Calculation 2 7 4" xfId="820" xr:uid="{00000000-0005-0000-0000-000096020000}"/>
    <cellStyle name="Calculation 2 7 5" xfId="821" xr:uid="{00000000-0005-0000-0000-000097020000}"/>
    <cellStyle name="Calculation 2 8" xfId="822" xr:uid="{00000000-0005-0000-0000-000098020000}"/>
    <cellStyle name="Calculation 2 8 2" xfId="823" xr:uid="{00000000-0005-0000-0000-000099020000}"/>
    <cellStyle name="Calculation 2 8 3" xfId="824" xr:uid="{00000000-0005-0000-0000-00009A020000}"/>
    <cellStyle name="Calculation 2 8 4" xfId="825" xr:uid="{00000000-0005-0000-0000-00009B020000}"/>
    <cellStyle name="Calculation 2 8 5" xfId="826" xr:uid="{00000000-0005-0000-0000-00009C020000}"/>
    <cellStyle name="Calculation 2 9" xfId="827" xr:uid="{00000000-0005-0000-0000-00009D020000}"/>
    <cellStyle name="Calculation 2 9 2" xfId="828" xr:uid="{00000000-0005-0000-0000-00009E020000}"/>
    <cellStyle name="Calculation 2 9 3" xfId="829" xr:uid="{00000000-0005-0000-0000-00009F020000}"/>
    <cellStyle name="Calculation 2 9 4" xfId="830" xr:uid="{00000000-0005-0000-0000-0000A0020000}"/>
    <cellStyle name="Calculation 2 9 5" xfId="831" xr:uid="{00000000-0005-0000-0000-0000A1020000}"/>
    <cellStyle name="centre across selection" xfId="54" xr:uid="{00000000-0005-0000-0000-0000A2020000}"/>
    <cellStyle name="cf1" xfId="187" xr:uid="{00000000-0005-0000-0000-0000A3020000}"/>
    <cellStyle name="cf2" xfId="188" xr:uid="{00000000-0005-0000-0000-0000A4020000}"/>
    <cellStyle name="cf3" xfId="189" xr:uid="{00000000-0005-0000-0000-0000A5020000}"/>
    <cellStyle name="cf4" xfId="190" xr:uid="{00000000-0005-0000-0000-0000A6020000}"/>
    <cellStyle name="cf5" xfId="191" xr:uid="{00000000-0005-0000-0000-0000A7020000}"/>
    <cellStyle name="cf6" xfId="192" xr:uid="{00000000-0005-0000-0000-0000A8020000}"/>
    <cellStyle name="Check Cell 2" xfId="55" xr:uid="{00000000-0005-0000-0000-0000A9020000}"/>
    <cellStyle name="Check Cell 2 2" xfId="832" xr:uid="{00000000-0005-0000-0000-0000AA020000}"/>
    <cellStyle name="Check Cell 2 3" xfId="833" xr:uid="{00000000-0005-0000-0000-0000AB020000}"/>
    <cellStyle name="Check Cell 3" xfId="834" xr:uid="{00000000-0005-0000-0000-0000AC020000}"/>
    <cellStyle name="Comma" xfId="1" builtinId="3"/>
    <cellStyle name="Comma 10" xfId="835" xr:uid="{00000000-0005-0000-0000-0000AE020000}"/>
    <cellStyle name="Comma 10 2" xfId="836" xr:uid="{00000000-0005-0000-0000-0000AF020000}"/>
    <cellStyle name="Comma 11" xfId="837" xr:uid="{00000000-0005-0000-0000-0000B0020000}"/>
    <cellStyle name="Comma 2" xfId="56" xr:uid="{00000000-0005-0000-0000-0000B1020000}"/>
    <cellStyle name="Comma 2 10" xfId="838" xr:uid="{00000000-0005-0000-0000-0000B2020000}"/>
    <cellStyle name="Comma 2 11" xfId="839" xr:uid="{00000000-0005-0000-0000-0000B3020000}"/>
    <cellStyle name="Comma 2 12" xfId="840" xr:uid="{00000000-0005-0000-0000-0000B4020000}"/>
    <cellStyle name="Comma 2 12 2" xfId="841" xr:uid="{00000000-0005-0000-0000-0000B5020000}"/>
    <cellStyle name="Comma 2 13" xfId="842" xr:uid="{00000000-0005-0000-0000-0000B6020000}"/>
    <cellStyle name="Comma 2 14" xfId="843" xr:uid="{00000000-0005-0000-0000-0000B7020000}"/>
    <cellStyle name="Comma 2 2" xfId="193" xr:uid="{00000000-0005-0000-0000-0000B8020000}"/>
    <cellStyle name="Comma 2 2 2" xfId="194" xr:uid="{00000000-0005-0000-0000-0000B9020000}"/>
    <cellStyle name="Comma 2 2 2 2" xfId="844" xr:uid="{00000000-0005-0000-0000-0000BA020000}"/>
    <cellStyle name="Comma 2 2 3" xfId="845" xr:uid="{00000000-0005-0000-0000-0000BB020000}"/>
    <cellStyle name="Comma 2 2 4" xfId="3916" xr:uid="{00000000-0005-0000-0000-0000BC020000}"/>
    <cellStyle name="Comma 2 3" xfId="195" xr:uid="{00000000-0005-0000-0000-0000BD020000}"/>
    <cellStyle name="Comma 2 3 2" xfId="846" xr:uid="{00000000-0005-0000-0000-0000BE020000}"/>
    <cellStyle name="Comma 2 3 3" xfId="3921" xr:uid="{00000000-0005-0000-0000-0000BF020000}"/>
    <cellStyle name="Comma 2 3 4" xfId="3957" xr:uid="{00000000-0005-0000-0000-0000C0020000}"/>
    <cellStyle name="Comma 2 4" xfId="847" xr:uid="{00000000-0005-0000-0000-0000C1020000}"/>
    <cellStyle name="Comma 2 5" xfId="848" xr:uid="{00000000-0005-0000-0000-0000C2020000}"/>
    <cellStyle name="Comma 2 6" xfId="849" xr:uid="{00000000-0005-0000-0000-0000C3020000}"/>
    <cellStyle name="Comma 2 7" xfId="850" xr:uid="{00000000-0005-0000-0000-0000C4020000}"/>
    <cellStyle name="Comma 2 8" xfId="851" xr:uid="{00000000-0005-0000-0000-0000C5020000}"/>
    <cellStyle name="Comma 2 9" xfId="852" xr:uid="{00000000-0005-0000-0000-0000C6020000}"/>
    <cellStyle name="Comma 3" xfId="57" xr:uid="{00000000-0005-0000-0000-0000C7020000}"/>
    <cellStyle name="Comma 3 2" xfId="196" xr:uid="{00000000-0005-0000-0000-0000C8020000}"/>
    <cellStyle name="Comma 3 3" xfId="853" xr:uid="{00000000-0005-0000-0000-0000C9020000}"/>
    <cellStyle name="Comma 3 3 2" xfId="3939" xr:uid="{00000000-0005-0000-0000-0000CA020000}"/>
    <cellStyle name="Comma 3 4" xfId="854" xr:uid="{00000000-0005-0000-0000-0000CB020000}"/>
    <cellStyle name="Comma 3 4 2" xfId="3925" xr:uid="{00000000-0005-0000-0000-0000CC020000}"/>
    <cellStyle name="Comma 3 5" xfId="855" xr:uid="{00000000-0005-0000-0000-0000CD020000}"/>
    <cellStyle name="Comma 3 6" xfId="856" xr:uid="{00000000-0005-0000-0000-0000CE020000}"/>
    <cellStyle name="Comma 3 7" xfId="857" xr:uid="{00000000-0005-0000-0000-0000CF020000}"/>
    <cellStyle name="Comma 4" xfId="58" xr:uid="{00000000-0005-0000-0000-0000D0020000}"/>
    <cellStyle name="Comma 4 2" xfId="858" xr:uid="{00000000-0005-0000-0000-0000D1020000}"/>
    <cellStyle name="Comma 4 3" xfId="859" xr:uid="{00000000-0005-0000-0000-0000D2020000}"/>
    <cellStyle name="Comma 4 4" xfId="860" xr:uid="{00000000-0005-0000-0000-0000D3020000}"/>
    <cellStyle name="Comma 4 5" xfId="861" xr:uid="{00000000-0005-0000-0000-0000D4020000}"/>
    <cellStyle name="Comma 4 6" xfId="862" xr:uid="{00000000-0005-0000-0000-0000D5020000}"/>
    <cellStyle name="Comma 5" xfId="197" xr:uid="{00000000-0005-0000-0000-0000D6020000}"/>
    <cellStyle name="Comma 5 2" xfId="863" xr:uid="{00000000-0005-0000-0000-0000D7020000}"/>
    <cellStyle name="Comma 5 3" xfId="864" xr:uid="{00000000-0005-0000-0000-0000D8020000}"/>
    <cellStyle name="Comma 5 4" xfId="865" xr:uid="{00000000-0005-0000-0000-0000D9020000}"/>
    <cellStyle name="Comma 5 5" xfId="866" xr:uid="{00000000-0005-0000-0000-0000DA020000}"/>
    <cellStyle name="Comma 6" xfId="198" xr:uid="{00000000-0005-0000-0000-0000DB020000}"/>
    <cellStyle name="Comma 6 2" xfId="867" xr:uid="{00000000-0005-0000-0000-0000DC020000}"/>
    <cellStyle name="Comma 6 3" xfId="868" xr:uid="{00000000-0005-0000-0000-0000DD020000}"/>
    <cellStyle name="Comma 6 4" xfId="869" xr:uid="{00000000-0005-0000-0000-0000DE020000}"/>
    <cellStyle name="Comma 6 5" xfId="870" xr:uid="{00000000-0005-0000-0000-0000DF020000}"/>
    <cellStyle name="Comma 7" xfId="871" xr:uid="{00000000-0005-0000-0000-0000E0020000}"/>
    <cellStyle name="Comma 7 2" xfId="872" xr:uid="{00000000-0005-0000-0000-0000E1020000}"/>
    <cellStyle name="Comma 7 3" xfId="873" xr:uid="{00000000-0005-0000-0000-0000E2020000}"/>
    <cellStyle name="Comma 8" xfId="874" xr:uid="{00000000-0005-0000-0000-0000E3020000}"/>
    <cellStyle name="Comma 8 2" xfId="875" xr:uid="{00000000-0005-0000-0000-0000E4020000}"/>
    <cellStyle name="Comma 8 3" xfId="876" xr:uid="{00000000-0005-0000-0000-0000E5020000}"/>
    <cellStyle name="Comma 8 4" xfId="877" xr:uid="{00000000-0005-0000-0000-0000E6020000}"/>
    <cellStyle name="Comma 9" xfId="878" xr:uid="{00000000-0005-0000-0000-0000E7020000}"/>
    <cellStyle name="Comma 9 2" xfId="879" xr:uid="{00000000-0005-0000-0000-0000E8020000}"/>
    <cellStyle name="Comma0" xfId="59" xr:uid="{00000000-0005-0000-0000-0000E9020000}"/>
    <cellStyle name="Currency 14" xfId="3961" xr:uid="{00000000-0005-0000-0000-0000EB020000}"/>
    <cellStyle name="Currency 14 12 10" xfId="3966" xr:uid="{3B3D72DD-C276-48BA-8E22-B094E81F04A9}"/>
    <cellStyle name="Currency 14 21" xfId="3965" xr:uid="{F3617526-4F11-45D7-A252-1D34435693CC}"/>
    <cellStyle name="Currency 14 24" xfId="3968" xr:uid="{93E1532C-FD5D-4210-A005-21E1943881AF}"/>
    <cellStyle name="Currency 2" xfId="60" xr:uid="{00000000-0005-0000-0000-0000EC020000}"/>
    <cellStyle name="Currency 2 2" xfId="209" xr:uid="{00000000-0005-0000-0000-0000ED020000}"/>
    <cellStyle name="Currency 2 2 2" xfId="880" xr:uid="{00000000-0005-0000-0000-0000EE020000}"/>
    <cellStyle name="Currency 2 2 3" xfId="881" xr:uid="{00000000-0005-0000-0000-0000EF020000}"/>
    <cellStyle name="Currency 2 3" xfId="882" xr:uid="{00000000-0005-0000-0000-0000F0020000}"/>
    <cellStyle name="Currency 2 4" xfId="883" xr:uid="{00000000-0005-0000-0000-0000F1020000}"/>
    <cellStyle name="Currency 2 5" xfId="884" xr:uid="{00000000-0005-0000-0000-0000F2020000}"/>
    <cellStyle name="Currency 2 6" xfId="885" xr:uid="{00000000-0005-0000-0000-0000F3020000}"/>
    <cellStyle name="Currency 3" xfId="61" xr:uid="{00000000-0005-0000-0000-0000F4020000}"/>
    <cellStyle name="Currency 3 2" xfId="199" xr:uid="{00000000-0005-0000-0000-0000F5020000}"/>
    <cellStyle name="Currency 3 2 2" xfId="886" xr:uid="{00000000-0005-0000-0000-0000F6020000}"/>
    <cellStyle name="Currency 3 2 3" xfId="887" xr:uid="{00000000-0005-0000-0000-0000F7020000}"/>
    <cellStyle name="Currency 3 2 4" xfId="888" xr:uid="{00000000-0005-0000-0000-0000F8020000}"/>
    <cellStyle name="Currency 3 3" xfId="889" xr:uid="{00000000-0005-0000-0000-0000F9020000}"/>
    <cellStyle name="Currency 3 3 2" xfId="3940" xr:uid="{00000000-0005-0000-0000-0000FA020000}"/>
    <cellStyle name="Currency 3 4" xfId="890" xr:uid="{00000000-0005-0000-0000-0000FB020000}"/>
    <cellStyle name="Currency 3 5" xfId="891" xr:uid="{00000000-0005-0000-0000-0000FC020000}"/>
    <cellStyle name="Currency 3 5 2" xfId="892" xr:uid="{00000000-0005-0000-0000-0000FD020000}"/>
    <cellStyle name="Currency 3 6" xfId="893" xr:uid="{00000000-0005-0000-0000-0000FE020000}"/>
    <cellStyle name="Currency 3 7" xfId="894" xr:uid="{00000000-0005-0000-0000-0000FF020000}"/>
    <cellStyle name="Currency 4" xfId="62" xr:uid="{00000000-0005-0000-0000-000000030000}"/>
    <cellStyle name="Currency 4 2" xfId="895" xr:uid="{00000000-0005-0000-0000-000001030000}"/>
    <cellStyle name="Currency 4 3" xfId="896" xr:uid="{00000000-0005-0000-0000-000002030000}"/>
    <cellStyle name="Currency 4 4" xfId="897" xr:uid="{00000000-0005-0000-0000-000003030000}"/>
    <cellStyle name="Currency 4 5" xfId="898" xr:uid="{00000000-0005-0000-0000-000004030000}"/>
    <cellStyle name="Currency 5" xfId="200" xr:uid="{00000000-0005-0000-0000-000005030000}"/>
    <cellStyle name="Currency 5 2" xfId="899" xr:uid="{00000000-0005-0000-0000-000006030000}"/>
    <cellStyle name="Currency 5 3" xfId="900" xr:uid="{00000000-0005-0000-0000-000007030000}"/>
    <cellStyle name="Currency 6" xfId="901" xr:uid="{00000000-0005-0000-0000-000008030000}"/>
    <cellStyle name="Currency 6 2" xfId="902" xr:uid="{00000000-0005-0000-0000-000009030000}"/>
    <cellStyle name="Currency 7" xfId="903" xr:uid="{00000000-0005-0000-0000-00000A030000}"/>
    <cellStyle name="Currency 7 2" xfId="904" xr:uid="{00000000-0005-0000-0000-00000B030000}"/>
    <cellStyle name="Currency 8" xfId="905" xr:uid="{00000000-0005-0000-0000-00000C030000}"/>
    <cellStyle name="Currency 9" xfId="906" xr:uid="{00000000-0005-0000-0000-00000D030000}"/>
    <cellStyle name="Currency 9 2" xfId="907" xr:uid="{00000000-0005-0000-0000-00000E030000}"/>
    <cellStyle name="dataEntry" xfId="3926" xr:uid="{00000000-0005-0000-0000-00000F030000}"/>
    <cellStyle name="DetailStyleText" xfId="908" xr:uid="{00000000-0005-0000-0000-000010030000}"/>
    <cellStyle name="Emphasis 1" xfId="909" xr:uid="{00000000-0005-0000-0000-000011030000}"/>
    <cellStyle name="Emphasis 2" xfId="910" xr:uid="{00000000-0005-0000-0000-000012030000}"/>
    <cellStyle name="Emphasis 3" xfId="911" xr:uid="{00000000-0005-0000-0000-000013030000}"/>
    <cellStyle name="Estimated" xfId="63" xr:uid="{00000000-0005-0000-0000-000014030000}"/>
    <cellStyle name="Euro" xfId="64" xr:uid="{00000000-0005-0000-0000-000015030000}"/>
    <cellStyle name="Èurrency [0]" xfId="912" xr:uid="{00000000-0005-0000-0000-000016030000}"/>
    <cellStyle name="Explanatory Text 2" xfId="65" xr:uid="{00000000-0005-0000-0000-000017030000}"/>
    <cellStyle name="Explanatory Text 2 2" xfId="913" xr:uid="{00000000-0005-0000-0000-000018030000}"/>
    <cellStyle name="external input" xfId="66" xr:uid="{00000000-0005-0000-0000-000019030000}"/>
    <cellStyle name="FinancialTitleStyle" xfId="914" xr:uid="{00000000-0005-0000-0000-00001A030000}"/>
    <cellStyle name="Fixed" xfId="67" xr:uid="{00000000-0005-0000-0000-00001B030000}"/>
    <cellStyle name="Followed Hyperlink 10" xfId="915" xr:uid="{00000000-0005-0000-0000-00001C030000}"/>
    <cellStyle name="Followed Hyperlink 10 2" xfId="916" xr:uid="{00000000-0005-0000-0000-00001D030000}"/>
    <cellStyle name="Followed Hyperlink 2" xfId="917" xr:uid="{00000000-0005-0000-0000-00001E030000}"/>
    <cellStyle name="Followed Hyperlink 2 2" xfId="918" xr:uid="{00000000-0005-0000-0000-00001F030000}"/>
    <cellStyle name="Followed Hyperlink 3" xfId="919" xr:uid="{00000000-0005-0000-0000-000020030000}"/>
    <cellStyle name="Followed Hyperlink 3 2" xfId="920" xr:uid="{00000000-0005-0000-0000-000021030000}"/>
    <cellStyle name="Followed Hyperlink 4" xfId="921" xr:uid="{00000000-0005-0000-0000-000022030000}"/>
    <cellStyle name="Followed Hyperlink 4 2" xfId="922" xr:uid="{00000000-0005-0000-0000-000023030000}"/>
    <cellStyle name="Followed Hyperlink 5" xfId="923" xr:uid="{00000000-0005-0000-0000-000024030000}"/>
    <cellStyle name="Followed Hyperlink 5 2" xfId="924" xr:uid="{00000000-0005-0000-0000-000025030000}"/>
    <cellStyle name="Followed Hyperlink 6" xfId="925" xr:uid="{00000000-0005-0000-0000-000026030000}"/>
    <cellStyle name="Followed Hyperlink 6 2" xfId="926" xr:uid="{00000000-0005-0000-0000-000027030000}"/>
    <cellStyle name="Followed Hyperlink 7" xfId="927" xr:uid="{00000000-0005-0000-0000-000028030000}"/>
    <cellStyle name="Followed Hyperlink 7 2" xfId="928" xr:uid="{00000000-0005-0000-0000-000029030000}"/>
    <cellStyle name="Followed Hyperlink 8" xfId="929" xr:uid="{00000000-0005-0000-0000-00002A030000}"/>
    <cellStyle name="Followed Hyperlink 8 2" xfId="930" xr:uid="{00000000-0005-0000-0000-00002B030000}"/>
    <cellStyle name="Followed Hyperlink 9" xfId="931" xr:uid="{00000000-0005-0000-0000-00002C030000}"/>
    <cellStyle name="Followed Hyperlink 9 2" xfId="932" xr:uid="{00000000-0005-0000-0000-00002D030000}"/>
    <cellStyle name="Good 2" xfId="68" xr:uid="{00000000-0005-0000-0000-00002E030000}"/>
    <cellStyle name="Good 2 2" xfId="933" xr:uid="{00000000-0005-0000-0000-00002F030000}"/>
    <cellStyle name="Good 2 3" xfId="934" xr:uid="{00000000-0005-0000-0000-000030030000}"/>
    <cellStyle name="Header" xfId="69" xr:uid="{00000000-0005-0000-0000-000031030000}"/>
    <cellStyle name="HeaderGrant" xfId="70" xr:uid="{00000000-0005-0000-0000-000032030000}"/>
    <cellStyle name="HeaderGrant 10" xfId="935" xr:uid="{00000000-0005-0000-0000-000033030000}"/>
    <cellStyle name="HeaderGrant 10 2" xfId="936" xr:uid="{00000000-0005-0000-0000-000034030000}"/>
    <cellStyle name="HeaderGrant 10 3" xfId="937" xr:uid="{00000000-0005-0000-0000-000035030000}"/>
    <cellStyle name="HeaderGrant 10 4" xfId="938" xr:uid="{00000000-0005-0000-0000-000036030000}"/>
    <cellStyle name="HeaderGrant 10 5" xfId="939" xr:uid="{00000000-0005-0000-0000-000037030000}"/>
    <cellStyle name="HeaderGrant 11" xfId="940" xr:uid="{00000000-0005-0000-0000-000038030000}"/>
    <cellStyle name="HeaderGrant 11 2" xfId="941" xr:uid="{00000000-0005-0000-0000-000039030000}"/>
    <cellStyle name="HeaderGrant 11 3" xfId="942" xr:uid="{00000000-0005-0000-0000-00003A030000}"/>
    <cellStyle name="HeaderGrant 11 4" xfId="943" xr:uid="{00000000-0005-0000-0000-00003B030000}"/>
    <cellStyle name="HeaderGrant 12" xfId="944" xr:uid="{00000000-0005-0000-0000-00003C030000}"/>
    <cellStyle name="HeaderGrant 12 2" xfId="945" xr:uid="{00000000-0005-0000-0000-00003D030000}"/>
    <cellStyle name="HeaderGrant 12 3" xfId="946" xr:uid="{00000000-0005-0000-0000-00003E030000}"/>
    <cellStyle name="HeaderGrant 12 4" xfId="947" xr:uid="{00000000-0005-0000-0000-00003F030000}"/>
    <cellStyle name="HeaderGrant 13" xfId="948" xr:uid="{00000000-0005-0000-0000-000040030000}"/>
    <cellStyle name="HeaderGrant 13 2" xfId="949" xr:uid="{00000000-0005-0000-0000-000041030000}"/>
    <cellStyle name="HeaderGrant 13 3" xfId="950" xr:uid="{00000000-0005-0000-0000-000042030000}"/>
    <cellStyle name="HeaderGrant 13 4" xfId="951" xr:uid="{00000000-0005-0000-0000-000043030000}"/>
    <cellStyle name="HeaderGrant 2" xfId="952" xr:uid="{00000000-0005-0000-0000-000044030000}"/>
    <cellStyle name="HeaderGrant 2 10" xfId="953" xr:uid="{00000000-0005-0000-0000-000045030000}"/>
    <cellStyle name="HeaderGrant 2 10 2" xfId="954" xr:uid="{00000000-0005-0000-0000-000046030000}"/>
    <cellStyle name="HeaderGrant 2 10 3" xfId="955" xr:uid="{00000000-0005-0000-0000-000047030000}"/>
    <cellStyle name="HeaderGrant 2 10 4" xfId="956" xr:uid="{00000000-0005-0000-0000-000048030000}"/>
    <cellStyle name="HeaderGrant 2 11" xfId="957" xr:uid="{00000000-0005-0000-0000-000049030000}"/>
    <cellStyle name="HeaderGrant 2 11 2" xfId="958" xr:uid="{00000000-0005-0000-0000-00004A030000}"/>
    <cellStyle name="HeaderGrant 2 11 3" xfId="959" xr:uid="{00000000-0005-0000-0000-00004B030000}"/>
    <cellStyle name="HeaderGrant 2 11 4" xfId="960" xr:uid="{00000000-0005-0000-0000-00004C030000}"/>
    <cellStyle name="HeaderGrant 2 12" xfId="961" xr:uid="{00000000-0005-0000-0000-00004D030000}"/>
    <cellStyle name="HeaderGrant 2 12 2" xfId="962" xr:uid="{00000000-0005-0000-0000-00004E030000}"/>
    <cellStyle name="HeaderGrant 2 12 3" xfId="963" xr:uid="{00000000-0005-0000-0000-00004F030000}"/>
    <cellStyle name="HeaderGrant 2 12 4" xfId="964" xr:uid="{00000000-0005-0000-0000-000050030000}"/>
    <cellStyle name="HeaderGrant 2 2" xfId="965" xr:uid="{00000000-0005-0000-0000-000051030000}"/>
    <cellStyle name="HeaderGrant 2 2 10" xfId="966" xr:uid="{00000000-0005-0000-0000-000052030000}"/>
    <cellStyle name="HeaderGrant 2 2 10 2" xfId="967" xr:uid="{00000000-0005-0000-0000-000053030000}"/>
    <cellStyle name="HeaderGrant 2 2 10 3" xfId="968" xr:uid="{00000000-0005-0000-0000-000054030000}"/>
    <cellStyle name="HeaderGrant 2 2 10 4" xfId="969" xr:uid="{00000000-0005-0000-0000-000055030000}"/>
    <cellStyle name="HeaderGrant 2 2 10 5" xfId="970" xr:uid="{00000000-0005-0000-0000-000056030000}"/>
    <cellStyle name="HeaderGrant 2 2 11" xfId="971" xr:uid="{00000000-0005-0000-0000-000057030000}"/>
    <cellStyle name="HeaderGrant 2 2 11 2" xfId="972" xr:uid="{00000000-0005-0000-0000-000058030000}"/>
    <cellStyle name="HeaderGrant 2 2 11 3" xfId="973" xr:uid="{00000000-0005-0000-0000-000059030000}"/>
    <cellStyle name="HeaderGrant 2 2 11 4" xfId="974" xr:uid="{00000000-0005-0000-0000-00005A030000}"/>
    <cellStyle name="HeaderGrant 2 2 12" xfId="975" xr:uid="{00000000-0005-0000-0000-00005B030000}"/>
    <cellStyle name="HeaderGrant 2 2 12 2" xfId="976" xr:uid="{00000000-0005-0000-0000-00005C030000}"/>
    <cellStyle name="HeaderGrant 2 2 12 3" xfId="977" xr:uid="{00000000-0005-0000-0000-00005D030000}"/>
    <cellStyle name="HeaderGrant 2 2 12 4" xfId="978" xr:uid="{00000000-0005-0000-0000-00005E030000}"/>
    <cellStyle name="HeaderGrant 2 2 13" xfId="979" xr:uid="{00000000-0005-0000-0000-00005F030000}"/>
    <cellStyle name="HeaderGrant 2 2 13 2" xfId="980" xr:uid="{00000000-0005-0000-0000-000060030000}"/>
    <cellStyle name="HeaderGrant 2 2 13 3" xfId="981" xr:uid="{00000000-0005-0000-0000-000061030000}"/>
    <cellStyle name="HeaderGrant 2 2 13 4" xfId="982" xr:uid="{00000000-0005-0000-0000-000062030000}"/>
    <cellStyle name="HeaderGrant 2 2 14" xfId="983" xr:uid="{00000000-0005-0000-0000-000063030000}"/>
    <cellStyle name="HeaderGrant 2 2 2" xfId="984" xr:uid="{00000000-0005-0000-0000-000064030000}"/>
    <cellStyle name="HeaderGrant 2 2 2 2" xfId="985" xr:uid="{00000000-0005-0000-0000-000065030000}"/>
    <cellStyle name="HeaderGrant 2 2 2 3" xfId="986" xr:uid="{00000000-0005-0000-0000-000066030000}"/>
    <cellStyle name="HeaderGrant 2 2 2 4" xfId="987" xr:uid="{00000000-0005-0000-0000-000067030000}"/>
    <cellStyle name="HeaderGrant 2 2 2 5" xfId="988" xr:uid="{00000000-0005-0000-0000-000068030000}"/>
    <cellStyle name="HeaderGrant 2 2 3" xfId="989" xr:uid="{00000000-0005-0000-0000-000069030000}"/>
    <cellStyle name="HeaderGrant 2 2 3 2" xfId="990" xr:uid="{00000000-0005-0000-0000-00006A030000}"/>
    <cellStyle name="HeaderGrant 2 2 3 3" xfId="991" xr:uid="{00000000-0005-0000-0000-00006B030000}"/>
    <cellStyle name="HeaderGrant 2 2 3 4" xfId="992" xr:uid="{00000000-0005-0000-0000-00006C030000}"/>
    <cellStyle name="HeaderGrant 2 2 3 5" xfId="993" xr:uid="{00000000-0005-0000-0000-00006D030000}"/>
    <cellStyle name="HeaderGrant 2 2 4" xfId="994" xr:uid="{00000000-0005-0000-0000-00006E030000}"/>
    <cellStyle name="HeaderGrant 2 2 4 2" xfId="995" xr:uid="{00000000-0005-0000-0000-00006F030000}"/>
    <cellStyle name="HeaderGrant 2 2 4 3" xfId="996" xr:uid="{00000000-0005-0000-0000-000070030000}"/>
    <cellStyle name="HeaderGrant 2 2 4 4" xfId="997" xr:uid="{00000000-0005-0000-0000-000071030000}"/>
    <cellStyle name="HeaderGrant 2 2 4 5" xfId="998" xr:uid="{00000000-0005-0000-0000-000072030000}"/>
    <cellStyle name="HeaderGrant 2 2 5" xfId="999" xr:uid="{00000000-0005-0000-0000-000073030000}"/>
    <cellStyle name="HeaderGrant 2 2 5 2" xfId="1000" xr:uid="{00000000-0005-0000-0000-000074030000}"/>
    <cellStyle name="HeaderGrant 2 2 5 3" xfId="1001" xr:uid="{00000000-0005-0000-0000-000075030000}"/>
    <cellStyle name="HeaderGrant 2 2 5 4" xfId="1002" xr:uid="{00000000-0005-0000-0000-000076030000}"/>
    <cellStyle name="HeaderGrant 2 2 5 5" xfId="1003" xr:uid="{00000000-0005-0000-0000-000077030000}"/>
    <cellStyle name="HeaderGrant 2 2 6" xfId="1004" xr:uid="{00000000-0005-0000-0000-000078030000}"/>
    <cellStyle name="HeaderGrant 2 2 6 2" xfId="1005" xr:uid="{00000000-0005-0000-0000-000079030000}"/>
    <cellStyle name="HeaderGrant 2 2 6 3" xfId="1006" xr:uid="{00000000-0005-0000-0000-00007A030000}"/>
    <cellStyle name="HeaderGrant 2 2 6 4" xfId="1007" xr:uid="{00000000-0005-0000-0000-00007B030000}"/>
    <cellStyle name="HeaderGrant 2 2 6 5" xfId="1008" xr:uid="{00000000-0005-0000-0000-00007C030000}"/>
    <cellStyle name="HeaderGrant 2 2 7" xfId="1009" xr:uid="{00000000-0005-0000-0000-00007D030000}"/>
    <cellStyle name="HeaderGrant 2 2 7 2" xfId="1010" xr:uid="{00000000-0005-0000-0000-00007E030000}"/>
    <cellStyle name="HeaderGrant 2 2 7 3" xfId="1011" xr:uid="{00000000-0005-0000-0000-00007F030000}"/>
    <cellStyle name="HeaderGrant 2 2 7 4" xfId="1012" xr:uid="{00000000-0005-0000-0000-000080030000}"/>
    <cellStyle name="HeaderGrant 2 2 7 5" xfId="1013" xr:uid="{00000000-0005-0000-0000-000081030000}"/>
    <cellStyle name="HeaderGrant 2 2 8" xfId="1014" xr:uid="{00000000-0005-0000-0000-000082030000}"/>
    <cellStyle name="HeaderGrant 2 2 8 2" xfId="1015" xr:uid="{00000000-0005-0000-0000-000083030000}"/>
    <cellStyle name="HeaderGrant 2 2 8 3" xfId="1016" xr:uid="{00000000-0005-0000-0000-000084030000}"/>
    <cellStyle name="HeaderGrant 2 2 8 4" xfId="1017" xr:uid="{00000000-0005-0000-0000-000085030000}"/>
    <cellStyle name="HeaderGrant 2 2 8 5" xfId="1018" xr:uid="{00000000-0005-0000-0000-000086030000}"/>
    <cellStyle name="HeaderGrant 2 2 9" xfId="1019" xr:uid="{00000000-0005-0000-0000-000087030000}"/>
    <cellStyle name="HeaderGrant 2 2 9 2" xfId="1020" xr:uid="{00000000-0005-0000-0000-000088030000}"/>
    <cellStyle name="HeaderGrant 2 2 9 3" xfId="1021" xr:uid="{00000000-0005-0000-0000-000089030000}"/>
    <cellStyle name="HeaderGrant 2 2 9 4" xfId="1022" xr:uid="{00000000-0005-0000-0000-00008A030000}"/>
    <cellStyle name="HeaderGrant 2 2 9 5" xfId="1023" xr:uid="{00000000-0005-0000-0000-00008B030000}"/>
    <cellStyle name="HeaderGrant 2 3" xfId="1024" xr:uid="{00000000-0005-0000-0000-00008C030000}"/>
    <cellStyle name="HeaderGrant 2 3 10" xfId="1025" xr:uid="{00000000-0005-0000-0000-00008D030000}"/>
    <cellStyle name="HeaderGrant 2 3 10 2" xfId="1026" xr:uid="{00000000-0005-0000-0000-00008E030000}"/>
    <cellStyle name="HeaderGrant 2 3 10 3" xfId="1027" xr:uid="{00000000-0005-0000-0000-00008F030000}"/>
    <cellStyle name="HeaderGrant 2 3 10 4" xfId="1028" xr:uid="{00000000-0005-0000-0000-000090030000}"/>
    <cellStyle name="HeaderGrant 2 3 10 5" xfId="1029" xr:uid="{00000000-0005-0000-0000-000091030000}"/>
    <cellStyle name="HeaderGrant 2 3 11" xfId="1030" xr:uid="{00000000-0005-0000-0000-000092030000}"/>
    <cellStyle name="HeaderGrant 2 3 11 2" xfId="1031" xr:uid="{00000000-0005-0000-0000-000093030000}"/>
    <cellStyle name="HeaderGrant 2 3 11 3" xfId="1032" xr:uid="{00000000-0005-0000-0000-000094030000}"/>
    <cellStyle name="HeaderGrant 2 3 11 4" xfId="1033" xr:uid="{00000000-0005-0000-0000-000095030000}"/>
    <cellStyle name="HeaderGrant 2 3 12" xfId="1034" xr:uid="{00000000-0005-0000-0000-000096030000}"/>
    <cellStyle name="HeaderGrant 2 3 12 2" xfId="1035" xr:uid="{00000000-0005-0000-0000-000097030000}"/>
    <cellStyle name="HeaderGrant 2 3 12 3" xfId="1036" xr:uid="{00000000-0005-0000-0000-000098030000}"/>
    <cellStyle name="HeaderGrant 2 3 12 4" xfId="1037" xr:uid="{00000000-0005-0000-0000-000099030000}"/>
    <cellStyle name="HeaderGrant 2 3 13" xfId="1038" xr:uid="{00000000-0005-0000-0000-00009A030000}"/>
    <cellStyle name="HeaderGrant 2 3 13 2" xfId="1039" xr:uid="{00000000-0005-0000-0000-00009B030000}"/>
    <cellStyle name="HeaderGrant 2 3 13 3" xfId="1040" xr:uid="{00000000-0005-0000-0000-00009C030000}"/>
    <cellStyle name="HeaderGrant 2 3 13 4" xfId="1041" xr:uid="{00000000-0005-0000-0000-00009D030000}"/>
    <cellStyle name="HeaderGrant 2 3 14" xfId="1042" xr:uid="{00000000-0005-0000-0000-00009E030000}"/>
    <cellStyle name="HeaderGrant 2 3 2" xfId="1043" xr:uid="{00000000-0005-0000-0000-00009F030000}"/>
    <cellStyle name="HeaderGrant 2 3 2 2" xfId="1044" xr:uid="{00000000-0005-0000-0000-0000A0030000}"/>
    <cellStyle name="HeaderGrant 2 3 2 3" xfId="1045" xr:uid="{00000000-0005-0000-0000-0000A1030000}"/>
    <cellStyle name="HeaderGrant 2 3 2 4" xfId="1046" xr:uid="{00000000-0005-0000-0000-0000A2030000}"/>
    <cellStyle name="HeaderGrant 2 3 2 5" xfId="1047" xr:uid="{00000000-0005-0000-0000-0000A3030000}"/>
    <cellStyle name="HeaderGrant 2 3 3" xfId="1048" xr:uid="{00000000-0005-0000-0000-0000A4030000}"/>
    <cellStyle name="HeaderGrant 2 3 3 2" xfId="1049" xr:uid="{00000000-0005-0000-0000-0000A5030000}"/>
    <cellStyle name="HeaderGrant 2 3 3 3" xfId="1050" xr:uid="{00000000-0005-0000-0000-0000A6030000}"/>
    <cellStyle name="HeaderGrant 2 3 3 4" xfId="1051" xr:uid="{00000000-0005-0000-0000-0000A7030000}"/>
    <cellStyle name="HeaderGrant 2 3 3 5" xfId="1052" xr:uid="{00000000-0005-0000-0000-0000A8030000}"/>
    <cellStyle name="HeaderGrant 2 3 4" xfId="1053" xr:uid="{00000000-0005-0000-0000-0000A9030000}"/>
    <cellStyle name="HeaderGrant 2 3 4 2" xfId="1054" xr:uid="{00000000-0005-0000-0000-0000AA030000}"/>
    <cellStyle name="HeaderGrant 2 3 4 3" xfId="1055" xr:uid="{00000000-0005-0000-0000-0000AB030000}"/>
    <cellStyle name="HeaderGrant 2 3 4 4" xfId="1056" xr:uid="{00000000-0005-0000-0000-0000AC030000}"/>
    <cellStyle name="HeaderGrant 2 3 4 5" xfId="1057" xr:uid="{00000000-0005-0000-0000-0000AD030000}"/>
    <cellStyle name="HeaderGrant 2 3 5" xfId="1058" xr:uid="{00000000-0005-0000-0000-0000AE030000}"/>
    <cellStyle name="HeaderGrant 2 3 5 2" xfId="1059" xr:uid="{00000000-0005-0000-0000-0000AF030000}"/>
    <cellStyle name="HeaderGrant 2 3 5 3" xfId="1060" xr:uid="{00000000-0005-0000-0000-0000B0030000}"/>
    <cellStyle name="HeaderGrant 2 3 5 4" xfId="1061" xr:uid="{00000000-0005-0000-0000-0000B1030000}"/>
    <cellStyle name="HeaderGrant 2 3 5 5" xfId="1062" xr:uid="{00000000-0005-0000-0000-0000B2030000}"/>
    <cellStyle name="HeaderGrant 2 3 6" xfId="1063" xr:uid="{00000000-0005-0000-0000-0000B3030000}"/>
    <cellStyle name="HeaderGrant 2 3 6 2" xfId="1064" xr:uid="{00000000-0005-0000-0000-0000B4030000}"/>
    <cellStyle name="HeaderGrant 2 3 6 3" xfId="1065" xr:uid="{00000000-0005-0000-0000-0000B5030000}"/>
    <cellStyle name="HeaderGrant 2 3 6 4" xfId="1066" xr:uid="{00000000-0005-0000-0000-0000B6030000}"/>
    <cellStyle name="HeaderGrant 2 3 6 5" xfId="1067" xr:uid="{00000000-0005-0000-0000-0000B7030000}"/>
    <cellStyle name="HeaderGrant 2 3 7" xfId="1068" xr:uid="{00000000-0005-0000-0000-0000B8030000}"/>
    <cellStyle name="HeaderGrant 2 3 7 2" xfId="1069" xr:uid="{00000000-0005-0000-0000-0000B9030000}"/>
    <cellStyle name="HeaderGrant 2 3 7 3" xfId="1070" xr:uid="{00000000-0005-0000-0000-0000BA030000}"/>
    <cellStyle name="HeaderGrant 2 3 7 4" xfId="1071" xr:uid="{00000000-0005-0000-0000-0000BB030000}"/>
    <cellStyle name="HeaderGrant 2 3 7 5" xfId="1072" xr:uid="{00000000-0005-0000-0000-0000BC030000}"/>
    <cellStyle name="HeaderGrant 2 3 8" xfId="1073" xr:uid="{00000000-0005-0000-0000-0000BD030000}"/>
    <cellStyle name="HeaderGrant 2 3 8 2" xfId="1074" xr:uid="{00000000-0005-0000-0000-0000BE030000}"/>
    <cellStyle name="HeaderGrant 2 3 8 3" xfId="1075" xr:uid="{00000000-0005-0000-0000-0000BF030000}"/>
    <cellStyle name="HeaderGrant 2 3 8 4" xfId="1076" xr:uid="{00000000-0005-0000-0000-0000C0030000}"/>
    <cellStyle name="HeaderGrant 2 3 8 5" xfId="1077" xr:uid="{00000000-0005-0000-0000-0000C1030000}"/>
    <cellStyle name="HeaderGrant 2 3 9" xfId="1078" xr:uid="{00000000-0005-0000-0000-0000C2030000}"/>
    <cellStyle name="HeaderGrant 2 3 9 2" xfId="1079" xr:uid="{00000000-0005-0000-0000-0000C3030000}"/>
    <cellStyle name="HeaderGrant 2 3 9 3" xfId="1080" xr:uid="{00000000-0005-0000-0000-0000C4030000}"/>
    <cellStyle name="HeaderGrant 2 3 9 4" xfId="1081" xr:uid="{00000000-0005-0000-0000-0000C5030000}"/>
    <cellStyle name="HeaderGrant 2 3 9 5" xfId="1082" xr:uid="{00000000-0005-0000-0000-0000C6030000}"/>
    <cellStyle name="HeaderGrant 2 4" xfId="1083" xr:uid="{00000000-0005-0000-0000-0000C7030000}"/>
    <cellStyle name="HeaderGrant 2 4 10" xfId="1084" xr:uid="{00000000-0005-0000-0000-0000C8030000}"/>
    <cellStyle name="HeaderGrant 2 4 10 2" xfId="1085" xr:uid="{00000000-0005-0000-0000-0000C9030000}"/>
    <cellStyle name="HeaderGrant 2 4 10 3" xfId="1086" xr:uid="{00000000-0005-0000-0000-0000CA030000}"/>
    <cellStyle name="HeaderGrant 2 4 10 4" xfId="1087" xr:uid="{00000000-0005-0000-0000-0000CB030000}"/>
    <cellStyle name="HeaderGrant 2 4 10 5" xfId="1088" xr:uid="{00000000-0005-0000-0000-0000CC030000}"/>
    <cellStyle name="HeaderGrant 2 4 11" xfId="1089" xr:uid="{00000000-0005-0000-0000-0000CD030000}"/>
    <cellStyle name="HeaderGrant 2 4 11 2" xfId="1090" xr:uid="{00000000-0005-0000-0000-0000CE030000}"/>
    <cellStyle name="HeaderGrant 2 4 11 3" xfId="1091" xr:uid="{00000000-0005-0000-0000-0000CF030000}"/>
    <cellStyle name="HeaderGrant 2 4 11 4" xfId="1092" xr:uid="{00000000-0005-0000-0000-0000D0030000}"/>
    <cellStyle name="HeaderGrant 2 4 11 5" xfId="1093" xr:uid="{00000000-0005-0000-0000-0000D1030000}"/>
    <cellStyle name="HeaderGrant 2 4 12" xfId="1094" xr:uid="{00000000-0005-0000-0000-0000D2030000}"/>
    <cellStyle name="HeaderGrant 2 4 12 2" xfId="1095" xr:uid="{00000000-0005-0000-0000-0000D3030000}"/>
    <cellStyle name="HeaderGrant 2 4 12 3" xfId="1096" xr:uid="{00000000-0005-0000-0000-0000D4030000}"/>
    <cellStyle name="HeaderGrant 2 4 12 4" xfId="1097" xr:uid="{00000000-0005-0000-0000-0000D5030000}"/>
    <cellStyle name="HeaderGrant 2 4 12 5" xfId="1098" xr:uid="{00000000-0005-0000-0000-0000D6030000}"/>
    <cellStyle name="HeaderGrant 2 4 13" xfId="1099" xr:uid="{00000000-0005-0000-0000-0000D7030000}"/>
    <cellStyle name="HeaderGrant 2 4 13 2" xfId="1100" xr:uid="{00000000-0005-0000-0000-0000D8030000}"/>
    <cellStyle name="HeaderGrant 2 4 13 3" xfId="1101" xr:uid="{00000000-0005-0000-0000-0000D9030000}"/>
    <cellStyle name="HeaderGrant 2 4 13 4" xfId="1102" xr:uid="{00000000-0005-0000-0000-0000DA030000}"/>
    <cellStyle name="HeaderGrant 2 4 13 5" xfId="1103" xr:uid="{00000000-0005-0000-0000-0000DB030000}"/>
    <cellStyle name="HeaderGrant 2 4 14" xfId="1104" xr:uid="{00000000-0005-0000-0000-0000DC030000}"/>
    <cellStyle name="HeaderGrant 2 4 14 2" xfId="1105" xr:uid="{00000000-0005-0000-0000-0000DD030000}"/>
    <cellStyle name="HeaderGrant 2 4 14 3" xfId="1106" xr:uid="{00000000-0005-0000-0000-0000DE030000}"/>
    <cellStyle name="HeaderGrant 2 4 14 4" xfId="1107" xr:uid="{00000000-0005-0000-0000-0000DF030000}"/>
    <cellStyle name="HeaderGrant 2 4 14 5" xfId="1108" xr:uid="{00000000-0005-0000-0000-0000E0030000}"/>
    <cellStyle name="HeaderGrant 2 4 15" xfId="1109" xr:uid="{00000000-0005-0000-0000-0000E1030000}"/>
    <cellStyle name="HeaderGrant 2 4 15 2" xfId="1110" xr:uid="{00000000-0005-0000-0000-0000E2030000}"/>
    <cellStyle name="HeaderGrant 2 4 15 3" xfId="1111" xr:uid="{00000000-0005-0000-0000-0000E3030000}"/>
    <cellStyle name="HeaderGrant 2 4 15 4" xfId="1112" xr:uid="{00000000-0005-0000-0000-0000E4030000}"/>
    <cellStyle name="HeaderGrant 2 4 15 5" xfId="1113" xr:uid="{00000000-0005-0000-0000-0000E5030000}"/>
    <cellStyle name="HeaderGrant 2 4 16" xfId="1114" xr:uid="{00000000-0005-0000-0000-0000E6030000}"/>
    <cellStyle name="HeaderGrant 2 4 16 2" xfId="1115" xr:uid="{00000000-0005-0000-0000-0000E7030000}"/>
    <cellStyle name="HeaderGrant 2 4 16 3" xfId="1116" xr:uid="{00000000-0005-0000-0000-0000E8030000}"/>
    <cellStyle name="HeaderGrant 2 4 16 4" xfId="1117" xr:uid="{00000000-0005-0000-0000-0000E9030000}"/>
    <cellStyle name="HeaderGrant 2 4 16 5" xfId="1118" xr:uid="{00000000-0005-0000-0000-0000EA030000}"/>
    <cellStyle name="HeaderGrant 2 4 17" xfId="1119" xr:uid="{00000000-0005-0000-0000-0000EB030000}"/>
    <cellStyle name="HeaderGrant 2 4 17 2" xfId="1120" xr:uid="{00000000-0005-0000-0000-0000EC030000}"/>
    <cellStyle name="HeaderGrant 2 4 17 3" xfId="1121" xr:uid="{00000000-0005-0000-0000-0000ED030000}"/>
    <cellStyle name="HeaderGrant 2 4 17 4" xfId="1122" xr:uid="{00000000-0005-0000-0000-0000EE030000}"/>
    <cellStyle name="HeaderGrant 2 4 17 5" xfId="1123" xr:uid="{00000000-0005-0000-0000-0000EF030000}"/>
    <cellStyle name="HeaderGrant 2 4 18" xfId="1124" xr:uid="{00000000-0005-0000-0000-0000F0030000}"/>
    <cellStyle name="HeaderGrant 2 4 18 2" xfId="1125" xr:uid="{00000000-0005-0000-0000-0000F1030000}"/>
    <cellStyle name="HeaderGrant 2 4 18 3" xfId="1126" xr:uid="{00000000-0005-0000-0000-0000F2030000}"/>
    <cellStyle name="HeaderGrant 2 4 18 4" xfId="1127" xr:uid="{00000000-0005-0000-0000-0000F3030000}"/>
    <cellStyle name="HeaderGrant 2 4 18 5" xfId="1128" xr:uid="{00000000-0005-0000-0000-0000F4030000}"/>
    <cellStyle name="HeaderGrant 2 4 19" xfId="1129" xr:uid="{00000000-0005-0000-0000-0000F5030000}"/>
    <cellStyle name="HeaderGrant 2 4 19 2" xfId="1130" xr:uid="{00000000-0005-0000-0000-0000F6030000}"/>
    <cellStyle name="HeaderGrant 2 4 19 3" xfId="1131" xr:uid="{00000000-0005-0000-0000-0000F7030000}"/>
    <cellStyle name="HeaderGrant 2 4 19 4" xfId="1132" xr:uid="{00000000-0005-0000-0000-0000F8030000}"/>
    <cellStyle name="HeaderGrant 2 4 19 5" xfId="1133" xr:uid="{00000000-0005-0000-0000-0000F9030000}"/>
    <cellStyle name="HeaderGrant 2 4 2" xfId="1134" xr:uid="{00000000-0005-0000-0000-0000FA030000}"/>
    <cellStyle name="HeaderGrant 2 4 2 2" xfId="1135" xr:uid="{00000000-0005-0000-0000-0000FB030000}"/>
    <cellStyle name="HeaderGrant 2 4 2 3" xfId="1136" xr:uid="{00000000-0005-0000-0000-0000FC030000}"/>
    <cellStyle name="HeaderGrant 2 4 2 4" xfId="1137" xr:uid="{00000000-0005-0000-0000-0000FD030000}"/>
    <cellStyle name="HeaderGrant 2 4 2 5" xfId="1138" xr:uid="{00000000-0005-0000-0000-0000FE030000}"/>
    <cellStyle name="HeaderGrant 2 4 20" xfId="1139" xr:uid="{00000000-0005-0000-0000-0000FF030000}"/>
    <cellStyle name="HeaderGrant 2 4 20 2" xfId="1140" xr:uid="{00000000-0005-0000-0000-000000040000}"/>
    <cellStyle name="HeaderGrant 2 4 20 3" xfId="1141" xr:uid="{00000000-0005-0000-0000-000001040000}"/>
    <cellStyle name="HeaderGrant 2 4 20 4" xfId="1142" xr:uid="{00000000-0005-0000-0000-000002040000}"/>
    <cellStyle name="HeaderGrant 2 4 20 5" xfId="1143" xr:uid="{00000000-0005-0000-0000-000003040000}"/>
    <cellStyle name="HeaderGrant 2 4 21" xfId="1144" xr:uid="{00000000-0005-0000-0000-000004040000}"/>
    <cellStyle name="HeaderGrant 2 4 21 2" xfId="1145" xr:uid="{00000000-0005-0000-0000-000005040000}"/>
    <cellStyle name="HeaderGrant 2 4 21 3" xfId="1146" xr:uid="{00000000-0005-0000-0000-000006040000}"/>
    <cellStyle name="HeaderGrant 2 4 21 4" xfId="1147" xr:uid="{00000000-0005-0000-0000-000007040000}"/>
    <cellStyle name="HeaderGrant 2 4 21 5" xfId="1148" xr:uid="{00000000-0005-0000-0000-000008040000}"/>
    <cellStyle name="HeaderGrant 2 4 22" xfId="1149" xr:uid="{00000000-0005-0000-0000-000009040000}"/>
    <cellStyle name="HeaderGrant 2 4 22 2" xfId="1150" xr:uid="{00000000-0005-0000-0000-00000A040000}"/>
    <cellStyle name="HeaderGrant 2 4 22 3" xfId="1151" xr:uid="{00000000-0005-0000-0000-00000B040000}"/>
    <cellStyle name="HeaderGrant 2 4 22 4" xfId="1152" xr:uid="{00000000-0005-0000-0000-00000C040000}"/>
    <cellStyle name="HeaderGrant 2 4 23" xfId="1153" xr:uid="{00000000-0005-0000-0000-00000D040000}"/>
    <cellStyle name="HeaderGrant 2 4 23 2" xfId="1154" xr:uid="{00000000-0005-0000-0000-00000E040000}"/>
    <cellStyle name="HeaderGrant 2 4 23 3" xfId="1155" xr:uid="{00000000-0005-0000-0000-00000F040000}"/>
    <cellStyle name="HeaderGrant 2 4 23 4" xfId="1156" xr:uid="{00000000-0005-0000-0000-000010040000}"/>
    <cellStyle name="HeaderGrant 2 4 24" xfId="1157" xr:uid="{00000000-0005-0000-0000-000011040000}"/>
    <cellStyle name="HeaderGrant 2 4 24 2" xfId="1158" xr:uid="{00000000-0005-0000-0000-000012040000}"/>
    <cellStyle name="HeaderGrant 2 4 24 3" xfId="1159" xr:uid="{00000000-0005-0000-0000-000013040000}"/>
    <cellStyle name="HeaderGrant 2 4 24 4" xfId="1160" xr:uid="{00000000-0005-0000-0000-000014040000}"/>
    <cellStyle name="HeaderGrant 2 4 25" xfId="1161" xr:uid="{00000000-0005-0000-0000-000015040000}"/>
    <cellStyle name="HeaderGrant 2 4 25 2" xfId="1162" xr:uid="{00000000-0005-0000-0000-000016040000}"/>
    <cellStyle name="HeaderGrant 2 4 25 3" xfId="1163" xr:uid="{00000000-0005-0000-0000-000017040000}"/>
    <cellStyle name="HeaderGrant 2 4 25 4" xfId="1164" xr:uid="{00000000-0005-0000-0000-000018040000}"/>
    <cellStyle name="HeaderGrant 2 4 3" xfId="1165" xr:uid="{00000000-0005-0000-0000-000019040000}"/>
    <cellStyle name="HeaderGrant 2 4 3 2" xfId="1166" xr:uid="{00000000-0005-0000-0000-00001A040000}"/>
    <cellStyle name="HeaderGrant 2 4 3 3" xfId="1167" xr:uid="{00000000-0005-0000-0000-00001B040000}"/>
    <cellStyle name="HeaderGrant 2 4 3 4" xfId="1168" xr:uid="{00000000-0005-0000-0000-00001C040000}"/>
    <cellStyle name="HeaderGrant 2 4 3 5" xfId="1169" xr:uid="{00000000-0005-0000-0000-00001D040000}"/>
    <cellStyle name="HeaderGrant 2 4 4" xfId="1170" xr:uid="{00000000-0005-0000-0000-00001E040000}"/>
    <cellStyle name="HeaderGrant 2 4 4 2" xfId="1171" xr:uid="{00000000-0005-0000-0000-00001F040000}"/>
    <cellStyle name="HeaderGrant 2 4 4 3" xfId="1172" xr:uid="{00000000-0005-0000-0000-000020040000}"/>
    <cellStyle name="HeaderGrant 2 4 4 4" xfId="1173" xr:uid="{00000000-0005-0000-0000-000021040000}"/>
    <cellStyle name="HeaderGrant 2 4 4 5" xfId="1174" xr:uid="{00000000-0005-0000-0000-000022040000}"/>
    <cellStyle name="HeaderGrant 2 4 5" xfId="1175" xr:uid="{00000000-0005-0000-0000-000023040000}"/>
    <cellStyle name="HeaderGrant 2 4 5 2" xfId="1176" xr:uid="{00000000-0005-0000-0000-000024040000}"/>
    <cellStyle name="HeaderGrant 2 4 5 3" xfId="1177" xr:uid="{00000000-0005-0000-0000-000025040000}"/>
    <cellStyle name="HeaderGrant 2 4 5 4" xfId="1178" xr:uid="{00000000-0005-0000-0000-000026040000}"/>
    <cellStyle name="HeaderGrant 2 4 5 5" xfId="1179" xr:uid="{00000000-0005-0000-0000-000027040000}"/>
    <cellStyle name="HeaderGrant 2 4 6" xfId="1180" xr:uid="{00000000-0005-0000-0000-000028040000}"/>
    <cellStyle name="HeaderGrant 2 4 6 2" xfId="1181" xr:uid="{00000000-0005-0000-0000-000029040000}"/>
    <cellStyle name="HeaderGrant 2 4 6 3" xfId="1182" xr:uid="{00000000-0005-0000-0000-00002A040000}"/>
    <cellStyle name="HeaderGrant 2 4 6 4" xfId="1183" xr:uid="{00000000-0005-0000-0000-00002B040000}"/>
    <cellStyle name="HeaderGrant 2 4 6 5" xfId="1184" xr:uid="{00000000-0005-0000-0000-00002C040000}"/>
    <cellStyle name="HeaderGrant 2 4 7" xfId="1185" xr:uid="{00000000-0005-0000-0000-00002D040000}"/>
    <cellStyle name="HeaderGrant 2 4 7 2" xfId="1186" xr:uid="{00000000-0005-0000-0000-00002E040000}"/>
    <cellStyle name="HeaderGrant 2 4 7 3" xfId="1187" xr:uid="{00000000-0005-0000-0000-00002F040000}"/>
    <cellStyle name="HeaderGrant 2 4 7 4" xfId="1188" xr:uid="{00000000-0005-0000-0000-000030040000}"/>
    <cellStyle name="HeaderGrant 2 4 7 5" xfId="1189" xr:uid="{00000000-0005-0000-0000-000031040000}"/>
    <cellStyle name="HeaderGrant 2 4 8" xfId="1190" xr:uid="{00000000-0005-0000-0000-000032040000}"/>
    <cellStyle name="HeaderGrant 2 4 8 2" xfId="1191" xr:uid="{00000000-0005-0000-0000-000033040000}"/>
    <cellStyle name="HeaderGrant 2 4 8 3" xfId="1192" xr:uid="{00000000-0005-0000-0000-000034040000}"/>
    <cellStyle name="HeaderGrant 2 4 8 4" xfId="1193" xr:uid="{00000000-0005-0000-0000-000035040000}"/>
    <cellStyle name="HeaderGrant 2 4 8 5" xfId="1194" xr:uid="{00000000-0005-0000-0000-000036040000}"/>
    <cellStyle name="HeaderGrant 2 4 9" xfId="1195" xr:uid="{00000000-0005-0000-0000-000037040000}"/>
    <cellStyle name="HeaderGrant 2 4 9 2" xfId="1196" xr:uid="{00000000-0005-0000-0000-000038040000}"/>
    <cellStyle name="HeaderGrant 2 4 9 3" xfId="1197" xr:uid="{00000000-0005-0000-0000-000039040000}"/>
    <cellStyle name="HeaderGrant 2 4 9 4" xfId="1198" xr:uid="{00000000-0005-0000-0000-00003A040000}"/>
    <cellStyle name="HeaderGrant 2 4 9 5" xfId="1199" xr:uid="{00000000-0005-0000-0000-00003B040000}"/>
    <cellStyle name="HeaderGrant 2 5" xfId="1200" xr:uid="{00000000-0005-0000-0000-00003C040000}"/>
    <cellStyle name="HeaderGrant 2 5 2" xfId="1201" xr:uid="{00000000-0005-0000-0000-00003D040000}"/>
    <cellStyle name="HeaderGrant 2 5 3" xfId="1202" xr:uid="{00000000-0005-0000-0000-00003E040000}"/>
    <cellStyle name="HeaderGrant 2 5 4" xfId="1203" xr:uid="{00000000-0005-0000-0000-00003F040000}"/>
    <cellStyle name="HeaderGrant 2 5 5" xfId="1204" xr:uid="{00000000-0005-0000-0000-000040040000}"/>
    <cellStyle name="HeaderGrant 2 6" xfId="1205" xr:uid="{00000000-0005-0000-0000-000041040000}"/>
    <cellStyle name="HeaderGrant 2 6 2" xfId="1206" xr:uid="{00000000-0005-0000-0000-000042040000}"/>
    <cellStyle name="HeaderGrant 2 6 3" xfId="1207" xr:uid="{00000000-0005-0000-0000-000043040000}"/>
    <cellStyle name="HeaderGrant 2 6 4" xfId="1208" xr:uid="{00000000-0005-0000-0000-000044040000}"/>
    <cellStyle name="HeaderGrant 2 6 5" xfId="1209" xr:uid="{00000000-0005-0000-0000-000045040000}"/>
    <cellStyle name="HeaderGrant 2 7" xfId="1210" xr:uid="{00000000-0005-0000-0000-000046040000}"/>
    <cellStyle name="HeaderGrant 2 7 2" xfId="1211" xr:uid="{00000000-0005-0000-0000-000047040000}"/>
    <cellStyle name="HeaderGrant 2 7 3" xfId="1212" xr:uid="{00000000-0005-0000-0000-000048040000}"/>
    <cellStyle name="HeaderGrant 2 7 4" xfId="1213" xr:uid="{00000000-0005-0000-0000-000049040000}"/>
    <cellStyle name="HeaderGrant 2 7 5" xfId="1214" xr:uid="{00000000-0005-0000-0000-00004A040000}"/>
    <cellStyle name="HeaderGrant 2 8" xfId="1215" xr:uid="{00000000-0005-0000-0000-00004B040000}"/>
    <cellStyle name="HeaderGrant 2 8 2" xfId="1216" xr:uid="{00000000-0005-0000-0000-00004C040000}"/>
    <cellStyle name="HeaderGrant 2 8 3" xfId="1217" xr:uid="{00000000-0005-0000-0000-00004D040000}"/>
    <cellStyle name="HeaderGrant 2 8 4" xfId="1218" xr:uid="{00000000-0005-0000-0000-00004E040000}"/>
    <cellStyle name="HeaderGrant 2 8 5" xfId="1219" xr:uid="{00000000-0005-0000-0000-00004F040000}"/>
    <cellStyle name="HeaderGrant 2 9" xfId="1220" xr:uid="{00000000-0005-0000-0000-000050040000}"/>
    <cellStyle name="HeaderGrant 2 9 2" xfId="1221" xr:uid="{00000000-0005-0000-0000-000051040000}"/>
    <cellStyle name="HeaderGrant 2 9 3" xfId="1222" xr:uid="{00000000-0005-0000-0000-000052040000}"/>
    <cellStyle name="HeaderGrant 2 9 4" xfId="1223" xr:uid="{00000000-0005-0000-0000-000053040000}"/>
    <cellStyle name="HeaderGrant 2 9 5" xfId="1224" xr:uid="{00000000-0005-0000-0000-000054040000}"/>
    <cellStyle name="HeaderGrant 3" xfId="1225" xr:uid="{00000000-0005-0000-0000-000055040000}"/>
    <cellStyle name="HeaderGrant 3 10" xfId="1226" xr:uid="{00000000-0005-0000-0000-000056040000}"/>
    <cellStyle name="HeaderGrant 3 10 2" xfId="1227" xr:uid="{00000000-0005-0000-0000-000057040000}"/>
    <cellStyle name="HeaderGrant 3 10 3" xfId="1228" xr:uid="{00000000-0005-0000-0000-000058040000}"/>
    <cellStyle name="HeaderGrant 3 10 4" xfId="1229" xr:uid="{00000000-0005-0000-0000-000059040000}"/>
    <cellStyle name="HeaderGrant 3 10 5" xfId="1230" xr:uid="{00000000-0005-0000-0000-00005A040000}"/>
    <cellStyle name="HeaderGrant 3 11" xfId="1231" xr:uid="{00000000-0005-0000-0000-00005B040000}"/>
    <cellStyle name="HeaderGrant 3 11 2" xfId="1232" xr:uid="{00000000-0005-0000-0000-00005C040000}"/>
    <cellStyle name="HeaderGrant 3 11 3" xfId="1233" xr:uid="{00000000-0005-0000-0000-00005D040000}"/>
    <cellStyle name="HeaderGrant 3 11 4" xfId="1234" xr:uid="{00000000-0005-0000-0000-00005E040000}"/>
    <cellStyle name="HeaderGrant 3 12" xfId="1235" xr:uid="{00000000-0005-0000-0000-00005F040000}"/>
    <cellStyle name="HeaderGrant 3 12 2" xfId="1236" xr:uid="{00000000-0005-0000-0000-000060040000}"/>
    <cellStyle name="HeaderGrant 3 12 3" xfId="1237" xr:uid="{00000000-0005-0000-0000-000061040000}"/>
    <cellStyle name="HeaderGrant 3 12 4" xfId="1238" xr:uid="{00000000-0005-0000-0000-000062040000}"/>
    <cellStyle name="HeaderGrant 3 13" xfId="1239" xr:uid="{00000000-0005-0000-0000-000063040000}"/>
    <cellStyle name="HeaderGrant 3 13 2" xfId="1240" xr:uid="{00000000-0005-0000-0000-000064040000}"/>
    <cellStyle name="HeaderGrant 3 13 3" xfId="1241" xr:uid="{00000000-0005-0000-0000-000065040000}"/>
    <cellStyle name="HeaderGrant 3 13 4" xfId="1242" xr:uid="{00000000-0005-0000-0000-000066040000}"/>
    <cellStyle name="HeaderGrant 3 14" xfId="1243" xr:uid="{00000000-0005-0000-0000-000067040000}"/>
    <cellStyle name="HeaderGrant 3 2" xfId="1244" xr:uid="{00000000-0005-0000-0000-000068040000}"/>
    <cellStyle name="HeaderGrant 3 2 2" xfId="1245" xr:uid="{00000000-0005-0000-0000-000069040000}"/>
    <cellStyle name="HeaderGrant 3 2 3" xfId="1246" xr:uid="{00000000-0005-0000-0000-00006A040000}"/>
    <cellStyle name="HeaderGrant 3 2 4" xfId="1247" xr:uid="{00000000-0005-0000-0000-00006B040000}"/>
    <cellStyle name="HeaderGrant 3 2 5" xfId="1248" xr:uid="{00000000-0005-0000-0000-00006C040000}"/>
    <cellStyle name="HeaderGrant 3 3" xfId="1249" xr:uid="{00000000-0005-0000-0000-00006D040000}"/>
    <cellStyle name="HeaderGrant 3 3 2" xfId="1250" xr:uid="{00000000-0005-0000-0000-00006E040000}"/>
    <cellStyle name="HeaderGrant 3 3 3" xfId="1251" xr:uid="{00000000-0005-0000-0000-00006F040000}"/>
    <cellStyle name="HeaderGrant 3 3 4" xfId="1252" xr:uid="{00000000-0005-0000-0000-000070040000}"/>
    <cellStyle name="HeaderGrant 3 3 5" xfId="1253" xr:uid="{00000000-0005-0000-0000-000071040000}"/>
    <cellStyle name="HeaderGrant 3 4" xfId="1254" xr:uid="{00000000-0005-0000-0000-000072040000}"/>
    <cellStyle name="HeaderGrant 3 4 2" xfId="1255" xr:uid="{00000000-0005-0000-0000-000073040000}"/>
    <cellStyle name="HeaderGrant 3 4 3" xfId="1256" xr:uid="{00000000-0005-0000-0000-000074040000}"/>
    <cellStyle name="HeaderGrant 3 4 4" xfId="1257" xr:uid="{00000000-0005-0000-0000-000075040000}"/>
    <cellStyle name="HeaderGrant 3 4 5" xfId="1258" xr:uid="{00000000-0005-0000-0000-000076040000}"/>
    <cellStyle name="HeaderGrant 3 5" xfId="1259" xr:uid="{00000000-0005-0000-0000-000077040000}"/>
    <cellStyle name="HeaderGrant 3 5 2" xfId="1260" xr:uid="{00000000-0005-0000-0000-000078040000}"/>
    <cellStyle name="HeaderGrant 3 5 3" xfId="1261" xr:uid="{00000000-0005-0000-0000-000079040000}"/>
    <cellStyle name="HeaderGrant 3 5 4" xfId="1262" xr:uid="{00000000-0005-0000-0000-00007A040000}"/>
    <cellStyle name="HeaderGrant 3 5 5" xfId="1263" xr:uid="{00000000-0005-0000-0000-00007B040000}"/>
    <cellStyle name="HeaderGrant 3 6" xfId="1264" xr:uid="{00000000-0005-0000-0000-00007C040000}"/>
    <cellStyle name="HeaderGrant 3 6 2" xfId="1265" xr:uid="{00000000-0005-0000-0000-00007D040000}"/>
    <cellStyle name="HeaderGrant 3 6 3" xfId="1266" xr:uid="{00000000-0005-0000-0000-00007E040000}"/>
    <cellStyle name="HeaderGrant 3 6 4" xfId="1267" xr:uid="{00000000-0005-0000-0000-00007F040000}"/>
    <cellStyle name="HeaderGrant 3 6 5" xfId="1268" xr:uid="{00000000-0005-0000-0000-000080040000}"/>
    <cellStyle name="HeaderGrant 3 7" xfId="1269" xr:uid="{00000000-0005-0000-0000-000081040000}"/>
    <cellStyle name="HeaderGrant 3 7 2" xfId="1270" xr:uid="{00000000-0005-0000-0000-000082040000}"/>
    <cellStyle name="HeaderGrant 3 7 3" xfId="1271" xr:uid="{00000000-0005-0000-0000-000083040000}"/>
    <cellStyle name="HeaderGrant 3 7 4" xfId="1272" xr:uid="{00000000-0005-0000-0000-000084040000}"/>
    <cellStyle name="HeaderGrant 3 7 5" xfId="1273" xr:uid="{00000000-0005-0000-0000-000085040000}"/>
    <cellStyle name="HeaderGrant 3 8" xfId="1274" xr:uid="{00000000-0005-0000-0000-000086040000}"/>
    <cellStyle name="HeaderGrant 3 8 2" xfId="1275" xr:uid="{00000000-0005-0000-0000-000087040000}"/>
    <cellStyle name="HeaderGrant 3 8 3" xfId="1276" xr:uid="{00000000-0005-0000-0000-000088040000}"/>
    <cellStyle name="HeaderGrant 3 8 4" xfId="1277" xr:uid="{00000000-0005-0000-0000-000089040000}"/>
    <cellStyle name="HeaderGrant 3 8 5" xfId="1278" xr:uid="{00000000-0005-0000-0000-00008A040000}"/>
    <cellStyle name="HeaderGrant 3 9" xfId="1279" xr:uid="{00000000-0005-0000-0000-00008B040000}"/>
    <cellStyle name="HeaderGrant 3 9 2" xfId="1280" xr:uid="{00000000-0005-0000-0000-00008C040000}"/>
    <cellStyle name="HeaderGrant 3 9 3" xfId="1281" xr:uid="{00000000-0005-0000-0000-00008D040000}"/>
    <cellStyle name="HeaderGrant 3 9 4" xfId="1282" xr:uid="{00000000-0005-0000-0000-00008E040000}"/>
    <cellStyle name="HeaderGrant 3 9 5" xfId="1283" xr:uid="{00000000-0005-0000-0000-00008F040000}"/>
    <cellStyle name="HeaderGrant 4" xfId="1284" xr:uid="{00000000-0005-0000-0000-000090040000}"/>
    <cellStyle name="HeaderGrant 4 10" xfId="1285" xr:uid="{00000000-0005-0000-0000-000091040000}"/>
    <cellStyle name="HeaderGrant 4 10 2" xfId="1286" xr:uid="{00000000-0005-0000-0000-000092040000}"/>
    <cellStyle name="HeaderGrant 4 10 3" xfId="1287" xr:uid="{00000000-0005-0000-0000-000093040000}"/>
    <cellStyle name="HeaderGrant 4 10 4" xfId="1288" xr:uid="{00000000-0005-0000-0000-000094040000}"/>
    <cellStyle name="HeaderGrant 4 10 5" xfId="1289" xr:uid="{00000000-0005-0000-0000-000095040000}"/>
    <cellStyle name="HeaderGrant 4 11" xfId="1290" xr:uid="{00000000-0005-0000-0000-000096040000}"/>
    <cellStyle name="HeaderGrant 4 11 2" xfId="1291" xr:uid="{00000000-0005-0000-0000-000097040000}"/>
    <cellStyle name="HeaderGrant 4 11 3" xfId="1292" xr:uid="{00000000-0005-0000-0000-000098040000}"/>
    <cellStyle name="HeaderGrant 4 11 4" xfId="1293" xr:uid="{00000000-0005-0000-0000-000099040000}"/>
    <cellStyle name="HeaderGrant 4 12" xfId="1294" xr:uid="{00000000-0005-0000-0000-00009A040000}"/>
    <cellStyle name="HeaderGrant 4 12 2" xfId="1295" xr:uid="{00000000-0005-0000-0000-00009B040000}"/>
    <cellStyle name="HeaderGrant 4 12 3" xfId="1296" xr:uid="{00000000-0005-0000-0000-00009C040000}"/>
    <cellStyle name="HeaderGrant 4 12 4" xfId="1297" xr:uid="{00000000-0005-0000-0000-00009D040000}"/>
    <cellStyle name="HeaderGrant 4 13" xfId="1298" xr:uid="{00000000-0005-0000-0000-00009E040000}"/>
    <cellStyle name="HeaderGrant 4 13 2" xfId="1299" xr:uid="{00000000-0005-0000-0000-00009F040000}"/>
    <cellStyle name="HeaderGrant 4 13 3" xfId="1300" xr:uid="{00000000-0005-0000-0000-0000A0040000}"/>
    <cellStyle name="HeaderGrant 4 13 4" xfId="1301" xr:uid="{00000000-0005-0000-0000-0000A1040000}"/>
    <cellStyle name="HeaderGrant 4 14" xfId="1302" xr:uid="{00000000-0005-0000-0000-0000A2040000}"/>
    <cellStyle name="HeaderGrant 4 2" xfId="1303" xr:uid="{00000000-0005-0000-0000-0000A3040000}"/>
    <cellStyle name="HeaderGrant 4 2 2" xfId="1304" xr:uid="{00000000-0005-0000-0000-0000A4040000}"/>
    <cellStyle name="HeaderGrant 4 2 3" xfId="1305" xr:uid="{00000000-0005-0000-0000-0000A5040000}"/>
    <cellStyle name="HeaderGrant 4 2 4" xfId="1306" xr:uid="{00000000-0005-0000-0000-0000A6040000}"/>
    <cellStyle name="HeaderGrant 4 2 5" xfId="1307" xr:uid="{00000000-0005-0000-0000-0000A7040000}"/>
    <cellStyle name="HeaderGrant 4 3" xfId="1308" xr:uid="{00000000-0005-0000-0000-0000A8040000}"/>
    <cellStyle name="HeaderGrant 4 3 2" xfId="1309" xr:uid="{00000000-0005-0000-0000-0000A9040000}"/>
    <cellStyle name="HeaderGrant 4 3 3" xfId="1310" xr:uid="{00000000-0005-0000-0000-0000AA040000}"/>
    <cellStyle name="HeaderGrant 4 3 4" xfId="1311" xr:uid="{00000000-0005-0000-0000-0000AB040000}"/>
    <cellStyle name="HeaderGrant 4 3 5" xfId="1312" xr:uid="{00000000-0005-0000-0000-0000AC040000}"/>
    <cellStyle name="HeaderGrant 4 4" xfId="1313" xr:uid="{00000000-0005-0000-0000-0000AD040000}"/>
    <cellStyle name="HeaderGrant 4 4 2" xfId="1314" xr:uid="{00000000-0005-0000-0000-0000AE040000}"/>
    <cellStyle name="HeaderGrant 4 4 3" xfId="1315" xr:uid="{00000000-0005-0000-0000-0000AF040000}"/>
    <cellStyle name="HeaderGrant 4 4 4" xfId="1316" xr:uid="{00000000-0005-0000-0000-0000B0040000}"/>
    <cellStyle name="HeaderGrant 4 4 5" xfId="1317" xr:uid="{00000000-0005-0000-0000-0000B1040000}"/>
    <cellStyle name="HeaderGrant 4 5" xfId="1318" xr:uid="{00000000-0005-0000-0000-0000B2040000}"/>
    <cellStyle name="HeaderGrant 4 5 2" xfId="1319" xr:uid="{00000000-0005-0000-0000-0000B3040000}"/>
    <cellStyle name="HeaderGrant 4 5 3" xfId="1320" xr:uid="{00000000-0005-0000-0000-0000B4040000}"/>
    <cellStyle name="HeaderGrant 4 5 4" xfId="1321" xr:uid="{00000000-0005-0000-0000-0000B5040000}"/>
    <cellStyle name="HeaderGrant 4 5 5" xfId="1322" xr:uid="{00000000-0005-0000-0000-0000B6040000}"/>
    <cellStyle name="HeaderGrant 4 6" xfId="1323" xr:uid="{00000000-0005-0000-0000-0000B7040000}"/>
    <cellStyle name="HeaderGrant 4 6 2" xfId="1324" xr:uid="{00000000-0005-0000-0000-0000B8040000}"/>
    <cellStyle name="HeaderGrant 4 6 3" xfId="1325" xr:uid="{00000000-0005-0000-0000-0000B9040000}"/>
    <cellStyle name="HeaderGrant 4 6 4" xfId="1326" xr:uid="{00000000-0005-0000-0000-0000BA040000}"/>
    <cellStyle name="HeaderGrant 4 6 5" xfId="1327" xr:uid="{00000000-0005-0000-0000-0000BB040000}"/>
    <cellStyle name="HeaderGrant 4 7" xfId="1328" xr:uid="{00000000-0005-0000-0000-0000BC040000}"/>
    <cellStyle name="HeaderGrant 4 7 2" xfId="1329" xr:uid="{00000000-0005-0000-0000-0000BD040000}"/>
    <cellStyle name="HeaderGrant 4 7 3" xfId="1330" xr:uid="{00000000-0005-0000-0000-0000BE040000}"/>
    <cellStyle name="HeaderGrant 4 7 4" xfId="1331" xr:uid="{00000000-0005-0000-0000-0000BF040000}"/>
    <cellStyle name="HeaderGrant 4 7 5" xfId="1332" xr:uid="{00000000-0005-0000-0000-0000C0040000}"/>
    <cellStyle name="HeaderGrant 4 8" xfId="1333" xr:uid="{00000000-0005-0000-0000-0000C1040000}"/>
    <cellStyle name="HeaderGrant 4 8 2" xfId="1334" xr:uid="{00000000-0005-0000-0000-0000C2040000}"/>
    <cellStyle name="HeaderGrant 4 8 3" xfId="1335" xr:uid="{00000000-0005-0000-0000-0000C3040000}"/>
    <cellStyle name="HeaderGrant 4 8 4" xfId="1336" xr:uid="{00000000-0005-0000-0000-0000C4040000}"/>
    <cellStyle name="HeaderGrant 4 8 5" xfId="1337" xr:uid="{00000000-0005-0000-0000-0000C5040000}"/>
    <cellStyle name="HeaderGrant 4 9" xfId="1338" xr:uid="{00000000-0005-0000-0000-0000C6040000}"/>
    <cellStyle name="HeaderGrant 4 9 2" xfId="1339" xr:uid="{00000000-0005-0000-0000-0000C7040000}"/>
    <cellStyle name="HeaderGrant 4 9 3" xfId="1340" xr:uid="{00000000-0005-0000-0000-0000C8040000}"/>
    <cellStyle name="HeaderGrant 4 9 4" xfId="1341" xr:uid="{00000000-0005-0000-0000-0000C9040000}"/>
    <cellStyle name="HeaderGrant 4 9 5" xfId="1342" xr:uid="{00000000-0005-0000-0000-0000CA040000}"/>
    <cellStyle name="HeaderGrant 5" xfId="1343" xr:uid="{00000000-0005-0000-0000-0000CB040000}"/>
    <cellStyle name="HeaderGrant 5 10" xfId="1344" xr:uid="{00000000-0005-0000-0000-0000CC040000}"/>
    <cellStyle name="HeaderGrant 5 10 2" xfId="1345" xr:uid="{00000000-0005-0000-0000-0000CD040000}"/>
    <cellStyle name="HeaderGrant 5 10 3" xfId="1346" xr:uid="{00000000-0005-0000-0000-0000CE040000}"/>
    <cellStyle name="HeaderGrant 5 10 4" xfId="1347" xr:uid="{00000000-0005-0000-0000-0000CF040000}"/>
    <cellStyle name="HeaderGrant 5 10 5" xfId="1348" xr:uid="{00000000-0005-0000-0000-0000D0040000}"/>
    <cellStyle name="HeaderGrant 5 11" xfId="1349" xr:uid="{00000000-0005-0000-0000-0000D1040000}"/>
    <cellStyle name="HeaderGrant 5 11 2" xfId="1350" xr:uid="{00000000-0005-0000-0000-0000D2040000}"/>
    <cellStyle name="HeaderGrant 5 11 3" xfId="1351" xr:uid="{00000000-0005-0000-0000-0000D3040000}"/>
    <cellStyle name="HeaderGrant 5 11 4" xfId="1352" xr:uid="{00000000-0005-0000-0000-0000D4040000}"/>
    <cellStyle name="HeaderGrant 5 11 5" xfId="1353" xr:uid="{00000000-0005-0000-0000-0000D5040000}"/>
    <cellStyle name="HeaderGrant 5 12" xfId="1354" xr:uid="{00000000-0005-0000-0000-0000D6040000}"/>
    <cellStyle name="HeaderGrant 5 12 2" xfId="1355" xr:uid="{00000000-0005-0000-0000-0000D7040000}"/>
    <cellStyle name="HeaderGrant 5 12 3" xfId="1356" xr:uid="{00000000-0005-0000-0000-0000D8040000}"/>
    <cellStyle name="HeaderGrant 5 12 4" xfId="1357" xr:uid="{00000000-0005-0000-0000-0000D9040000}"/>
    <cellStyle name="HeaderGrant 5 12 5" xfId="1358" xr:uid="{00000000-0005-0000-0000-0000DA040000}"/>
    <cellStyle name="HeaderGrant 5 13" xfId="1359" xr:uid="{00000000-0005-0000-0000-0000DB040000}"/>
    <cellStyle name="HeaderGrant 5 13 2" xfId="1360" xr:uid="{00000000-0005-0000-0000-0000DC040000}"/>
    <cellStyle name="HeaderGrant 5 13 3" xfId="1361" xr:uid="{00000000-0005-0000-0000-0000DD040000}"/>
    <cellStyle name="HeaderGrant 5 13 4" xfId="1362" xr:uid="{00000000-0005-0000-0000-0000DE040000}"/>
    <cellStyle name="HeaderGrant 5 13 5" xfId="1363" xr:uid="{00000000-0005-0000-0000-0000DF040000}"/>
    <cellStyle name="HeaderGrant 5 14" xfId="1364" xr:uid="{00000000-0005-0000-0000-0000E0040000}"/>
    <cellStyle name="HeaderGrant 5 14 2" xfId="1365" xr:uid="{00000000-0005-0000-0000-0000E1040000}"/>
    <cellStyle name="HeaderGrant 5 14 3" xfId="1366" xr:uid="{00000000-0005-0000-0000-0000E2040000}"/>
    <cellStyle name="HeaderGrant 5 14 4" xfId="1367" xr:uid="{00000000-0005-0000-0000-0000E3040000}"/>
    <cellStyle name="HeaderGrant 5 14 5" xfId="1368" xr:uid="{00000000-0005-0000-0000-0000E4040000}"/>
    <cellStyle name="HeaderGrant 5 15" xfId="1369" xr:uid="{00000000-0005-0000-0000-0000E5040000}"/>
    <cellStyle name="HeaderGrant 5 15 2" xfId="1370" xr:uid="{00000000-0005-0000-0000-0000E6040000}"/>
    <cellStyle name="HeaderGrant 5 15 3" xfId="1371" xr:uid="{00000000-0005-0000-0000-0000E7040000}"/>
    <cellStyle name="HeaderGrant 5 15 4" xfId="1372" xr:uid="{00000000-0005-0000-0000-0000E8040000}"/>
    <cellStyle name="HeaderGrant 5 15 5" xfId="1373" xr:uid="{00000000-0005-0000-0000-0000E9040000}"/>
    <cellStyle name="HeaderGrant 5 16" xfId="1374" xr:uid="{00000000-0005-0000-0000-0000EA040000}"/>
    <cellStyle name="HeaderGrant 5 16 2" xfId="1375" xr:uid="{00000000-0005-0000-0000-0000EB040000}"/>
    <cellStyle name="HeaderGrant 5 16 3" xfId="1376" xr:uid="{00000000-0005-0000-0000-0000EC040000}"/>
    <cellStyle name="HeaderGrant 5 16 4" xfId="1377" xr:uid="{00000000-0005-0000-0000-0000ED040000}"/>
    <cellStyle name="HeaderGrant 5 16 5" xfId="1378" xr:uid="{00000000-0005-0000-0000-0000EE040000}"/>
    <cellStyle name="HeaderGrant 5 17" xfId="1379" xr:uid="{00000000-0005-0000-0000-0000EF040000}"/>
    <cellStyle name="HeaderGrant 5 17 2" xfId="1380" xr:uid="{00000000-0005-0000-0000-0000F0040000}"/>
    <cellStyle name="HeaderGrant 5 17 3" xfId="1381" xr:uid="{00000000-0005-0000-0000-0000F1040000}"/>
    <cellStyle name="HeaderGrant 5 17 4" xfId="1382" xr:uid="{00000000-0005-0000-0000-0000F2040000}"/>
    <cellStyle name="HeaderGrant 5 17 5" xfId="1383" xr:uid="{00000000-0005-0000-0000-0000F3040000}"/>
    <cellStyle name="HeaderGrant 5 18" xfId="1384" xr:uid="{00000000-0005-0000-0000-0000F4040000}"/>
    <cellStyle name="HeaderGrant 5 18 2" xfId="1385" xr:uid="{00000000-0005-0000-0000-0000F5040000}"/>
    <cellStyle name="HeaderGrant 5 18 3" xfId="1386" xr:uid="{00000000-0005-0000-0000-0000F6040000}"/>
    <cellStyle name="HeaderGrant 5 18 4" xfId="1387" xr:uid="{00000000-0005-0000-0000-0000F7040000}"/>
    <cellStyle name="HeaderGrant 5 18 5" xfId="1388" xr:uid="{00000000-0005-0000-0000-0000F8040000}"/>
    <cellStyle name="HeaderGrant 5 19" xfId="1389" xr:uid="{00000000-0005-0000-0000-0000F9040000}"/>
    <cellStyle name="HeaderGrant 5 19 2" xfId="1390" xr:uid="{00000000-0005-0000-0000-0000FA040000}"/>
    <cellStyle name="HeaderGrant 5 19 3" xfId="1391" xr:uid="{00000000-0005-0000-0000-0000FB040000}"/>
    <cellStyle name="HeaderGrant 5 19 4" xfId="1392" xr:uid="{00000000-0005-0000-0000-0000FC040000}"/>
    <cellStyle name="HeaderGrant 5 19 5" xfId="1393" xr:uid="{00000000-0005-0000-0000-0000FD040000}"/>
    <cellStyle name="HeaderGrant 5 2" xfId="1394" xr:uid="{00000000-0005-0000-0000-0000FE040000}"/>
    <cellStyle name="HeaderGrant 5 2 2" xfId="1395" xr:uid="{00000000-0005-0000-0000-0000FF040000}"/>
    <cellStyle name="HeaderGrant 5 2 3" xfId="1396" xr:uid="{00000000-0005-0000-0000-000000050000}"/>
    <cellStyle name="HeaderGrant 5 2 4" xfId="1397" xr:uid="{00000000-0005-0000-0000-000001050000}"/>
    <cellStyle name="HeaderGrant 5 2 5" xfId="1398" xr:uid="{00000000-0005-0000-0000-000002050000}"/>
    <cellStyle name="HeaderGrant 5 20" xfId="1399" xr:uid="{00000000-0005-0000-0000-000003050000}"/>
    <cellStyle name="HeaderGrant 5 20 2" xfId="1400" xr:uid="{00000000-0005-0000-0000-000004050000}"/>
    <cellStyle name="HeaderGrant 5 20 3" xfId="1401" xr:uid="{00000000-0005-0000-0000-000005050000}"/>
    <cellStyle name="HeaderGrant 5 20 4" xfId="1402" xr:uid="{00000000-0005-0000-0000-000006050000}"/>
    <cellStyle name="HeaderGrant 5 20 5" xfId="1403" xr:uid="{00000000-0005-0000-0000-000007050000}"/>
    <cellStyle name="HeaderGrant 5 21" xfId="1404" xr:uid="{00000000-0005-0000-0000-000008050000}"/>
    <cellStyle name="HeaderGrant 5 21 2" xfId="1405" xr:uid="{00000000-0005-0000-0000-000009050000}"/>
    <cellStyle name="HeaderGrant 5 21 3" xfId="1406" xr:uid="{00000000-0005-0000-0000-00000A050000}"/>
    <cellStyle name="HeaderGrant 5 21 4" xfId="1407" xr:uid="{00000000-0005-0000-0000-00000B050000}"/>
    <cellStyle name="HeaderGrant 5 21 5" xfId="1408" xr:uid="{00000000-0005-0000-0000-00000C050000}"/>
    <cellStyle name="HeaderGrant 5 22" xfId="1409" xr:uid="{00000000-0005-0000-0000-00000D050000}"/>
    <cellStyle name="HeaderGrant 5 22 2" xfId="1410" xr:uid="{00000000-0005-0000-0000-00000E050000}"/>
    <cellStyle name="HeaderGrant 5 22 3" xfId="1411" xr:uid="{00000000-0005-0000-0000-00000F050000}"/>
    <cellStyle name="HeaderGrant 5 22 4" xfId="1412" xr:uid="{00000000-0005-0000-0000-000010050000}"/>
    <cellStyle name="HeaderGrant 5 23" xfId="1413" xr:uid="{00000000-0005-0000-0000-000011050000}"/>
    <cellStyle name="HeaderGrant 5 23 2" xfId="1414" xr:uid="{00000000-0005-0000-0000-000012050000}"/>
    <cellStyle name="HeaderGrant 5 23 3" xfId="1415" xr:uid="{00000000-0005-0000-0000-000013050000}"/>
    <cellStyle name="HeaderGrant 5 23 4" xfId="1416" xr:uid="{00000000-0005-0000-0000-000014050000}"/>
    <cellStyle name="HeaderGrant 5 24" xfId="1417" xr:uid="{00000000-0005-0000-0000-000015050000}"/>
    <cellStyle name="HeaderGrant 5 24 2" xfId="1418" xr:uid="{00000000-0005-0000-0000-000016050000}"/>
    <cellStyle name="HeaderGrant 5 24 3" xfId="1419" xr:uid="{00000000-0005-0000-0000-000017050000}"/>
    <cellStyle name="HeaderGrant 5 24 4" xfId="1420" xr:uid="{00000000-0005-0000-0000-000018050000}"/>
    <cellStyle name="HeaderGrant 5 25" xfId="1421" xr:uid="{00000000-0005-0000-0000-000019050000}"/>
    <cellStyle name="HeaderGrant 5 25 2" xfId="1422" xr:uid="{00000000-0005-0000-0000-00001A050000}"/>
    <cellStyle name="HeaderGrant 5 25 3" xfId="1423" xr:uid="{00000000-0005-0000-0000-00001B050000}"/>
    <cellStyle name="HeaderGrant 5 25 4" xfId="1424" xr:uid="{00000000-0005-0000-0000-00001C050000}"/>
    <cellStyle name="HeaderGrant 5 3" xfId="1425" xr:uid="{00000000-0005-0000-0000-00001D050000}"/>
    <cellStyle name="HeaderGrant 5 3 2" xfId="1426" xr:uid="{00000000-0005-0000-0000-00001E050000}"/>
    <cellStyle name="HeaderGrant 5 3 3" xfId="1427" xr:uid="{00000000-0005-0000-0000-00001F050000}"/>
    <cellStyle name="HeaderGrant 5 3 4" xfId="1428" xr:uid="{00000000-0005-0000-0000-000020050000}"/>
    <cellStyle name="HeaderGrant 5 3 5" xfId="1429" xr:uid="{00000000-0005-0000-0000-000021050000}"/>
    <cellStyle name="HeaderGrant 5 4" xfId="1430" xr:uid="{00000000-0005-0000-0000-000022050000}"/>
    <cellStyle name="HeaderGrant 5 4 2" xfId="1431" xr:uid="{00000000-0005-0000-0000-000023050000}"/>
    <cellStyle name="HeaderGrant 5 4 3" xfId="1432" xr:uid="{00000000-0005-0000-0000-000024050000}"/>
    <cellStyle name="HeaderGrant 5 4 4" xfId="1433" xr:uid="{00000000-0005-0000-0000-000025050000}"/>
    <cellStyle name="HeaderGrant 5 4 5" xfId="1434" xr:uid="{00000000-0005-0000-0000-000026050000}"/>
    <cellStyle name="HeaderGrant 5 5" xfId="1435" xr:uid="{00000000-0005-0000-0000-000027050000}"/>
    <cellStyle name="HeaderGrant 5 5 2" xfId="1436" xr:uid="{00000000-0005-0000-0000-000028050000}"/>
    <cellStyle name="HeaderGrant 5 5 3" xfId="1437" xr:uid="{00000000-0005-0000-0000-000029050000}"/>
    <cellStyle name="HeaderGrant 5 5 4" xfId="1438" xr:uid="{00000000-0005-0000-0000-00002A050000}"/>
    <cellStyle name="HeaderGrant 5 5 5" xfId="1439" xr:uid="{00000000-0005-0000-0000-00002B050000}"/>
    <cellStyle name="HeaderGrant 5 6" xfId="1440" xr:uid="{00000000-0005-0000-0000-00002C050000}"/>
    <cellStyle name="HeaderGrant 5 6 2" xfId="1441" xr:uid="{00000000-0005-0000-0000-00002D050000}"/>
    <cellStyle name="HeaderGrant 5 6 3" xfId="1442" xr:uid="{00000000-0005-0000-0000-00002E050000}"/>
    <cellStyle name="HeaderGrant 5 6 4" xfId="1443" xr:uid="{00000000-0005-0000-0000-00002F050000}"/>
    <cellStyle name="HeaderGrant 5 6 5" xfId="1444" xr:uid="{00000000-0005-0000-0000-000030050000}"/>
    <cellStyle name="HeaderGrant 5 7" xfId="1445" xr:uid="{00000000-0005-0000-0000-000031050000}"/>
    <cellStyle name="HeaderGrant 5 7 2" xfId="1446" xr:uid="{00000000-0005-0000-0000-000032050000}"/>
    <cellStyle name="HeaderGrant 5 7 3" xfId="1447" xr:uid="{00000000-0005-0000-0000-000033050000}"/>
    <cellStyle name="HeaderGrant 5 7 4" xfId="1448" xr:uid="{00000000-0005-0000-0000-000034050000}"/>
    <cellStyle name="HeaderGrant 5 7 5" xfId="1449" xr:uid="{00000000-0005-0000-0000-000035050000}"/>
    <cellStyle name="HeaderGrant 5 8" xfId="1450" xr:uid="{00000000-0005-0000-0000-000036050000}"/>
    <cellStyle name="HeaderGrant 5 8 2" xfId="1451" xr:uid="{00000000-0005-0000-0000-000037050000}"/>
    <cellStyle name="HeaderGrant 5 8 3" xfId="1452" xr:uid="{00000000-0005-0000-0000-000038050000}"/>
    <cellStyle name="HeaderGrant 5 8 4" xfId="1453" xr:uid="{00000000-0005-0000-0000-000039050000}"/>
    <cellStyle name="HeaderGrant 5 8 5" xfId="1454" xr:uid="{00000000-0005-0000-0000-00003A050000}"/>
    <cellStyle name="HeaderGrant 5 9" xfId="1455" xr:uid="{00000000-0005-0000-0000-00003B050000}"/>
    <cellStyle name="HeaderGrant 5 9 2" xfId="1456" xr:uid="{00000000-0005-0000-0000-00003C050000}"/>
    <cellStyle name="HeaderGrant 5 9 3" xfId="1457" xr:uid="{00000000-0005-0000-0000-00003D050000}"/>
    <cellStyle name="HeaderGrant 5 9 4" xfId="1458" xr:uid="{00000000-0005-0000-0000-00003E050000}"/>
    <cellStyle name="HeaderGrant 5 9 5" xfId="1459" xr:uid="{00000000-0005-0000-0000-00003F050000}"/>
    <cellStyle name="HeaderGrant 6" xfId="1460" xr:uid="{00000000-0005-0000-0000-000040050000}"/>
    <cellStyle name="HeaderGrant 6 2" xfId="1461" xr:uid="{00000000-0005-0000-0000-000041050000}"/>
    <cellStyle name="HeaderGrant 6 3" xfId="1462" xr:uid="{00000000-0005-0000-0000-000042050000}"/>
    <cellStyle name="HeaderGrant 6 4" xfId="1463" xr:uid="{00000000-0005-0000-0000-000043050000}"/>
    <cellStyle name="HeaderGrant 6 5" xfId="1464" xr:uid="{00000000-0005-0000-0000-000044050000}"/>
    <cellStyle name="HeaderGrant 7" xfId="1465" xr:uid="{00000000-0005-0000-0000-000045050000}"/>
    <cellStyle name="HeaderGrant 7 2" xfId="1466" xr:uid="{00000000-0005-0000-0000-000046050000}"/>
    <cellStyle name="HeaderGrant 7 3" xfId="1467" xr:uid="{00000000-0005-0000-0000-000047050000}"/>
    <cellStyle name="HeaderGrant 7 4" xfId="1468" xr:uid="{00000000-0005-0000-0000-000048050000}"/>
    <cellStyle name="HeaderGrant 7 5" xfId="1469" xr:uid="{00000000-0005-0000-0000-000049050000}"/>
    <cellStyle name="HeaderGrant 8" xfId="1470" xr:uid="{00000000-0005-0000-0000-00004A050000}"/>
    <cellStyle name="HeaderGrant 8 2" xfId="1471" xr:uid="{00000000-0005-0000-0000-00004B050000}"/>
    <cellStyle name="HeaderGrant 8 3" xfId="1472" xr:uid="{00000000-0005-0000-0000-00004C050000}"/>
    <cellStyle name="HeaderGrant 8 4" xfId="1473" xr:uid="{00000000-0005-0000-0000-00004D050000}"/>
    <cellStyle name="HeaderGrant 8 5" xfId="1474" xr:uid="{00000000-0005-0000-0000-00004E050000}"/>
    <cellStyle name="HeaderGrant 9" xfId="1475" xr:uid="{00000000-0005-0000-0000-00004F050000}"/>
    <cellStyle name="HeaderGrant 9 2" xfId="1476" xr:uid="{00000000-0005-0000-0000-000050050000}"/>
    <cellStyle name="HeaderGrant 9 3" xfId="1477" xr:uid="{00000000-0005-0000-0000-000051050000}"/>
    <cellStyle name="HeaderGrant 9 4" xfId="1478" xr:uid="{00000000-0005-0000-0000-000052050000}"/>
    <cellStyle name="HeaderGrant 9 5" xfId="1479" xr:uid="{00000000-0005-0000-0000-000053050000}"/>
    <cellStyle name="HeaderLEA" xfId="71" xr:uid="{00000000-0005-0000-0000-000054050000}"/>
    <cellStyle name="Heading 1 2" xfId="72" xr:uid="{00000000-0005-0000-0000-000055050000}"/>
    <cellStyle name="Heading 1 2 2" xfId="1480" xr:uid="{00000000-0005-0000-0000-000056050000}"/>
    <cellStyle name="Heading 2 2" xfId="73" xr:uid="{00000000-0005-0000-0000-000057050000}"/>
    <cellStyle name="Heading 2 2 2" xfId="1481" xr:uid="{00000000-0005-0000-0000-000058050000}"/>
    <cellStyle name="Heading 3 2" xfId="74" xr:uid="{00000000-0005-0000-0000-000059050000}"/>
    <cellStyle name="Heading 3 2 2" xfId="1482" xr:uid="{00000000-0005-0000-0000-00005A050000}"/>
    <cellStyle name="Heading 4 2" xfId="75" xr:uid="{00000000-0005-0000-0000-00005B050000}"/>
    <cellStyle name="Heading 4 2 2" xfId="1483" xr:uid="{00000000-0005-0000-0000-00005C050000}"/>
    <cellStyle name="Heading 4 3" xfId="1484" xr:uid="{00000000-0005-0000-0000-00005D050000}"/>
    <cellStyle name="Hyperlink" xfId="3967" builtinId="8"/>
    <cellStyle name="Hyperlink 2" xfId="76" xr:uid="{00000000-0005-0000-0000-00005F050000}"/>
    <cellStyle name="Hyperlink 2 2" xfId="77" xr:uid="{00000000-0005-0000-0000-000060050000}"/>
    <cellStyle name="Hyperlink 2 2 2" xfId="1485" xr:uid="{00000000-0005-0000-0000-000061050000}"/>
    <cellStyle name="Hyperlink 2 3" xfId="1486" xr:uid="{00000000-0005-0000-0000-000062050000}"/>
    <cellStyle name="Hyperlink 2 3 2" xfId="3941" xr:uid="{00000000-0005-0000-0000-000063050000}"/>
    <cellStyle name="Hyperlink 2 4" xfId="1487" xr:uid="{00000000-0005-0000-0000-000064050000}"/>
    <cellStyle name="Hyperlink 2 5" xfId="1488" xr:uid="{00000000-0005-0000-0000-000065050000}"/>
    <cellStyle name="Hyperlink 3" xfId="78" xr:uid="{00000000-0005-0000-0000-000066050000}"/>
    <cellStyle name="Hyperlink 3 2" xfId="1489" xr:uid="{00000000-0005-0000-0000-000067050000}"/>
    <cellStyle name="Hyperlink 4" xfId="79" xr:uid="{00000000-0005-0000-0000-000068050000}"/>
    <cellStyle name="Hyperlink 4 2" xfId="1490" xr:uid="{00000000-0005-0000-0000-000069050000}"/>
    <cellStyle name="Hyperlink 5" xfId="80" xr:uid="{00000000-0005-0000-0000-00006A050000}"/>
    <cellStyle name="Imported" xfId="81" xr:uid="{00000000-0005-0000-0000-00006B050000}"/>
    <cellStyle name="imput" xfId="3927" xr:uid="{00000000-0005-0000-0000-00006C050000}"/>
    <cellStyle name="Input 2" xfId="82" xr:uid="{00000000-0005-0000-0000-00006D050000}"/>
    <cellStyle name="Input 2 10" xfId="1491" xr:uid="{00000000-0005-0000-0000-00006E050000}"/>
    <cellStyle name="Input 2 10 2" xfId="1492" xr:uid="{00000000-0005-0000-0000-00006F050000}"/>
    <cellStyle name="Input 2 10 3" xfId="1493" xr:uid="{00000000-0005-0000-0000-000070050000}"/>
    <cellStyle name="Input 2 10 4" xfId="1494" xr:uid="{00000000-0005-0000-0000-000071050000}"/>
    <cellStyle name="Input 2 10 5" xfId="1495" xr:uid="{00000000-0005-0000-0000-000072050000}"/>
    <cellStyle name="Input 2 11" xfId="1496" xr:uid="{00000000-0005-0000-0000-000073050000}"/>
    <cellStyle name="Input 2 11 2" xfId="1497" xr:uid="{00000000-0005-0000-0000-000074050000}"/>
    <cellStyle name="Input 2 11 3" xfId="1498" xr:uid="{00000000-0005-0000-0000-000075050000}"/>
    <cellStyle name="Input 2 11 4" xfId="1499" xr:uid="{00000000-0005-0000-0000-000076050000}"/>
    <cellStyle name="Input 2 11 5" xfId="1500" xr:uid="{00000000-0005-0000-0000-000077050000}"/>
    <cellStyle name="Input 2 12" xfId="1501" xr:uid="{00000000-0005-0000-0000-000078050000}"/>
    <cellStyle name="Input 2 12 2" xfId="1502" xr:uid="{00000000-0005-0000-0000-000079050000}"/>
    <cellStyle name="Input 2 12 3" xfId="1503" xr:uid="{00000000-0005-0000-0000-00007A050000}"/>
    <cellStyle name="Input 2 12 4" xfId="1504" xr:uid="{00000000-0005-0000-0000-00007B050000}"/>
    <cellStyle name="Input 2 12 5" xfId="1505" xr:uid="{00000000-0005-0000-0000-00007C050000}"/>
    <cellStyle name="Input 2 13" xfId="1506" xr:uid="{00000000-0005-0000-0000-00007D050000}"/>
    <cellStyle name="Input 2 13 2" xfId="1507" xr:uid="{00000000-0005-0000-0000-00007E050000}"/>
    <cellStyle name="Input 2 13 3" xfId="1508" xr:uid="{00000000-0005-0000-0000-00007F050000}"/>
    <cellStyle name="Input 2 13 4" xfId="1509" xr:uid="{00000000-0005-0000-0000-000080050000}"/>
    <cellStyle name="Input 2 14" xfId="1510" xr:uid="{00000000-0005-0000-0000-000081050000}"/>
    <cellStyle name="Input 2 14 2" xfId="1511" xr:uid="{00000000-0005-0000-0000-000082050000}"/>
    <cellStyle name="Input 2 14 3" xfId="1512" xr:uid="{00000000-0005-0000-0000-000083050000}"/>
    <cellStyle name="Input 2 14 4" xfId="1513" xr:uid="{00000000-0005-0000-0000-000084050000}"/>
    <cellStyle name="Input 2 15" xfId="1514" xr:uid="{00000000-0005-0000-0000-000085050000}"/>
    <cellStyle name="Input 2 15 2" xfId="1515" xr:uid="{00000000-0005-0000-0000-000086050000}"/>
    <cellStyle name="Input 2 15 3" xfId="1516" xr:uid="{00000000-0005-0000-0000-000087050000}"/>
    <cellStyle name="Input 2 15 4" xfId="1517" xr:uid="{00000000-0005-0000-0000-000088050000}"/>
    <cellStyle name="Input 2 16" xfId="1518" xr:uid="{00000000-0005-0000-0000-000089050000}"/>
    <cellStyle name="Input 2 2" xfId="1519" xr:uid="{00000000-0005-0000-0000-00008A050000}"/>
    <cellStyle name="Input 2 2 10" xfId="1520" xr:uid="{00000000-0005-0000-0000-00008B050000}"/>
    <cellStyle name="Input 2 2 10 2" xfId="1521" xr:uid="{00000000-0005-0000-0000-00008C050000}"/>
    <cellStyle name="Input 2 2 10 3" xfId="1522" xr:uid="{00000000-0005-0000-0000-00008D050000}"/>
    <cellStyle name="Input 2 2 10 4" xfId="1523" xr:uid="{00000000-0005-0000-0000-00008E050000}"/>
    <cellStyle name="Input 2 2 10 5" xfId="1524" xr:uid="{00000000-0005-0000-0000-00008F050000}"/>
    <cellStyle name="Input 2 2 11" xfId="1525" xr:uid="{00000000-0005-0000-0000-000090050000}"/>
    <cellStyle name="Input 2 2 11 2" xfId="1526" xr:uid="{00000000-0005-0000-0000-000091050000}"/>
    <cellStyle name="Input 2 2 11 3" xfId="1527" xr:uid="{00000000-0005-0000-0000-000092050000}"/>
    <cellStyle name="Input 2 2 11 4" xfId="1528" xr:uid="{00000000-0005-0000-0000-000093050000}"/>
    <cellStyle name="Input 2 2 11 5" xfId="1529" xr:uid="{00000000-0005-0000-0000-000094050000}"/>
    <cellStyle name="Input 2 2 12" xfId="1530" xr:uid="{00000000-0005-0000-0000-000095050000}"/>
    <cellStyle name="Input 2 2 12 2" xfId="1531" xr:uid="{00000000-0005-0000-0000-000096050000}"/>
    <cellStyle name="Input 2 2 12 3" xfId="1532" xr:uid="{00000000-0005-0000-0000-000097050000}"/>
    <cellStyle name="Input 2 2 12 4" xfId="1533" xr:uid="{00000000-0005-0000-0000-000098050000}"/>
    <cellStyle name="Input 2 2 12 5" xfId="1534" xr:uid="{00000000-0005-0000-0000-000099050000}"/>
    <cellStyle name="Input 2 2 13" xfId="1535" xr:uid="{00000000-0005-0000-0000-00009A050000}"/>
    <cellStyle name="Input 2 2 13 2" xfId="1536" xr:uid="{00000000-0005-0000-0000-00009B050000}"/>
    <cellStyle name="Input 2 2 13 3" xfId="1537" xr:uid="{00000000-0005-0000-0000-00009C050000}"/>
    <cellStyle name="Input 2 2 13 4" xfId="1538" xr:uid="{00000000-0005-0000-0000-00009D050000}"/>
    <cellStyle name="Input 2 2 13 5" xfId="1539" xr:uid="{00000000-0005-0000-0000-00009E050000}"/>
    <cellStyle name="Input 2 2 14" xfId="1540" xr:uid="{00000000-0005-0000-0000-00009F050000}"/>
    <cellStyle name="Input 2 2 14 2" xfId="1541" xr:uid="{00000000-0005-0000-0000-0000A0050000}"/>
    <cellStyle name="Input 2 2 14 3" xfId="1542" xr:uid="{00000000-0005-0000-0000-0000A1050000}"/>
    <cellStyle name="Input 2 2 14 4" xfId="1543" xr:uid="{00000000-0005-0000-0000-0000A2050000}"/>
    <cellStyle name="Input 2 2 14 5" xfId="1544" xr:uid="{00000000-0005-0000-0000-0000A3050000}"/>
    <cellStyle name="Input 2 2 15" xfId="1545" xr:uid="{00000000-0005-0000-0000-0000A4050000}"/>
    <cellStyle name="Input 2 2 15 2" xfId="1546" xr:uid="{00000000-0005-0000-0000-0000A5050000}"/>
    <cellStyle name="Input 2 2 15 3" xfId="1547" xr:uid="{00000000-0005-0000-0000-0000A6050000}"/>
    <cellStyle name="Input 2 2 15 4" xfId="1548" xr:uid="{00000000-0005-0000-0000-0000A7050000}"/>
    <cellStyle name="Input 2 2 15 5" xfId="1549" xr:uid="{00000000-0005-0000-0000-0000A8050000}"/>
    <cellStyle name="Input 2 2 16" xfId="1550" xr:uid="{00000000-0005-0000-0000-0000A9050000}"/>
    <cellStyle name="Input 2 2 16 2" xfId="1551" xr:uid="{00000000-0005-0000-0000-0000AA050000}"/>
    <cellStyle name="Input 2 2 16 3" xfId="1552" xr:uid="{00000000-0005-0000-0000-0000AB050000}"/>
    <cellStyle name="Input 2 2 16 4" xfId="1553" xr:uid="{00000000-0005-0000-0000-0000AC050000}"/>
    <cellStyle name="Input 2 2 16 5" xfId="1554" xr:uid="{00000000-0005-0000-0000-0000AD050000}"/>
    <cellStyle name="Input 2 2 17" xfId="1555" xr:uid="{00000000-0005-0000-0000-0000AE050000}"/>
    <cellStyle name="Input 2 2 17 2" xfId="1556" xr:uid="{00000000-0005-0000-0000-0000AF050000}"/>
    <cellStyle name="Input 2 2 17 3" xfId="1557" xr:uid="{00000000-0005-0000-0000-0000B0050000}"/>
    <cellStyle name="Input 2 2 17 4" xfId="1558" xr:uid="{00000000-0005-0000-0000-0000B1050000}"/>
    <cellStyle name="Input 2 2 17 5" xfId="1559" xr:uid="{00000000-0005-0000-0000-0000B2050000}"/>
    <cellStyle name="Input 2 2 18" xfId="1560" xr:uid="{00000000-0005-0000-0000-0000B3050000}"/>
    <cellStyle name="Input 2 2 18 2" xfId="1561" xr:uid="{00000000-0005-0000-0000-0000B4050000}"/>
    <cellStyle name="Input 2 2 18 3" xfId="1562" xr:uid="{00000000-0005-0000-0000-0000B5050000}"/>
    <cellStyle name="Input 2 2 18 4" xfId="1563" xr:uid="{00000000-0005-0000-0000-0000B6050000}"/>
    <cellStyle name="Input 2 2 18 5" xfId="1564" xr:uid="{00000000-0005-0000-0000-0000B7050000}"/>
    <cellStyle name="Input 2 2 19" xfId="1565" xr:uid="{00000000-0005-0000-0000-0000B8050000}"/>
    <cellStyle name="Input 2 2 19 2" xfId="1566" xr:uid="{00000000-0005-0000-0000-0000B9050000}"/>
    <cellStyle name="Input 2 2 19 3" xfId="1567" xr:uid="{00000000-0005-0000-0000-0000BA050000}"/>
    <cellStyle name="Input 2 2 19 4" xfId="1568" xr:uid="{00000000-0005-0000-0000-0000BB050000}"/>
    <cellStyle name="Input 2 2 2" xfId="1569" xr:uid="{00000000-0005-0000-0000-0000BC050000}"/>
    <cellStyle name="Input 2 2 2 2" xfId="1570" xr:uid="{00000000-0005-0000-0000-0000BD050000}"/>
    <cellStyle name="Input 2 2 2 3" xfId="1571" xr:uid="{00000000-0005-0000-0000-0000BE050000}"/>
    <cellStyle name="Input 2 2 2 4" xfId="1572" xr:uid="{00000000-0005-0000-0000-0000BF050000}"/>
    <cellStyle name="Input 2 2 2 5" xfId="1573" xr:uid="{00000000-0005-0000-0000-0000C0050000}"/>
    <cellStyle name="Input 2 2 20" xfId="1574" xr:uid="{00000000-0005-0000-0000-0000C1050000}"/>
    <cellStyle name="Input 2 2 20 2" xfId="1575" xr:uid="{00000000-0005-0000-0000-0000C2050000}"/>
    <cellStyle name="Input 2 2 20 3" xfId="1576" xr:uid="{00000000-0005-0000-0000-0000C3050000}"/>
    <cellStyle name="Input 2 2 20 4" xfId="1577" xr:uid="{00000000-0005-0000-0000-0000C4050000}"/>
    <cellStyle name="Input 2 2 21" xfId="1578" xr:uid="{00000000-0005-0000-0000-0000C5050000}"/>
    <cellStyle name="Input 2 2 21 2" xfId="1579" xr:uid="{00000000-0005-0000-0000-0000C6050000}"/>
    <cellStyle name="Input 2 2 21 3" xfId="1580" xr:uid="{00000000-0005-0000-0000-0000C7050000}"/>
    <cellStyle name="Input 2 2 21 4" xfId="1581" xr:uid="{00000000-0005-0000-0000-0000C8050000}"/>
    <cellStyle name="Input 2 2 22" xfId="1582" xr:uid="{00000000-0005-0000-0000-0000C9050000}"/>
    <cellStyle name="Input 2 2 22 2" xfId="1583" xr:uid="{00000000-0005-0000-0000-0000CA050000}"/>
    <cellStyle name="Input 2 2 22 3" xfId="1584" xr:uid="{00000000-0005-0000-0000-0000CB050000}"/>
    <cellStyle name="Input 2 2 22 4" xfId="1585" xr:uid="{00000000-0005-0000-0000-0000CC050000}"/>
    <cellStyle name="Input 2 2 23" xfId="1586" xr:uid="{00000000-0005-0000-0000-0000CD050000}"/>
    <cellStyle name="Input 2 2 3" xfId="1587" xr:uid="{00000000-0005-0000-0000-0000CE050000}"/>
    <cellStyle name="Input 2 2 3 2" xfId="1588" xr:uid="{00000000-0005-0000-0000-0000CF050000}"/>
    <cellStyle name="Input 2 2 3 3" xfId="1589" xr:uid="{00000000-0005-0000-0000-0000D0050000}"/>
    <cellStyle name="Input 2 2 3 4" xfId="1590" xr:uid="{00000000-0005-0000-0000-0000D1050000}"/>
    <cellStyle name="Input 2 2 3 5" xfId="1591" xr:uid="{00000000-0005-0000-0000-0000D2050000}"/>
    <cellStyle name="Input 2 2 4" xfId="1592" xr:uid="{00000000-0005-0000-0000-0000D3050000}"/>
    <cellStyle name="Input 2 2 4 2" xfId="1593" xr:uid="{00000000-0005-0000-0000-0000D4050000}"/>
    <cellStyle name="Input 2 2 4 3" xfId="1594" xr:uid="{00000000-0005-0000-0000-0000D5050000}"/>
    <cellStyle name="Input 2 2 4 4" xfId="1595" xr:uid="{00000000-0005-0000-0000-0000D6050000}"/>
    <cellStyle name="Input 2 2 4 5" xfId="1596" xr:uid="{00000000-0005-0000-0000-0000D7050000}"/>
    <cellStyle name="Input 2 2 5" xfId="1597" xr:uid="{00000000-0005-0000-0000-0000D8050000}"/>
    <cellStyle name="Input 2 2 5 2" xfId="1598" xr:uid="{00000000-0005-0000-0000-0000D9050000}"/>
    <cellStyle name="Input 2 2 5 3" xfId="1599" xr:uid="{00000000-0005-0000-0000-0000DA050000}"/>
    <cellStyle name="Input 2 2 5 4" xfId="1600" xr:uid="{00000000-0005-0000-0000-0000DB050000}"/>
    <cellStyle name="Input 2 2 5 5" xfId="1601" xr:uid="{00000000-0005-0000-0000-0000DC050000}"/>
    <cellStyle name="Input 2 2 6" xfId="1602" xr:uid="{00000000-0005-0000-0000-0000DD050000}"/>
    <cellStyle name="Input 2 2 6 2" xfId="1603" xr:uid="{00000000-0005-0000-0000-0000DE050000}"/>
    <cellStyle name="Input 2 2 6 3" xfId="1604" xr:uid="{00000000-0005-0000-0000-0000DF050000}"/>
    <cellStyle name="Input 2 2 6 4" xfId="1605" xr:uid="{00000000-0005-0000-0000-0000E0050000}"/>
    <cellStyle name="Input 2 2 6 5" xfId="1606" xr:uid="{00000000-0005-0000-0000-0000E1050000}"/>
    <cellStyle name="Input 2 2 7" xfId="1607" xr:uid="{00000000-0005-0000-0000-0000E2050000}"/>
    <cellStyle name="Input 2 2 7 2" xfId="1608" xr:uid="{00000000-0005-0000-0000-0000E3050000}"/>
    <cellStyle name="Input 2 2 7 3" xfId="1609" xr:uid="{00000000-0005-0000-0000-0000E4050000}"/>
    <cellStyle name="Input 2 2 7 4" xfId="1610" xr:uid="{00000000-0005-0000-0000-0000E5050000}"/>
    <cellStyle name="Input 2 2 7 5" xfId="1611" xr:uid="{00000000-0005-0000-0000-0000E6050000}"/>
    <cellStyle name="Input 2 2 8" xfId="1612" xr:uid="{00000000-0005-0000-0000-0000E7050000}"/>
    <cellStyle name="Input 2 2 8 2" xfId="1613" xr:uid="{00000000-0005-0000-0000-0000E8050000}"/>
    <cellStyle name="Input 2 2 8 3" xfId="1614" xr:uid="{00000000-0005-0000-0000-0000E9050000}"/>
    <cellStyle name="Input 2 2 8 4" xfId="1615" xr:uid="{00000000-0005-0000-0000-0000EA050000}"/>
    <cellStyle name="Input 2 2 8 5" xfId="1616" xr:uid="{00000000-0005-0000-0000-0000EB050000}"/>
    <cellStyle name="Input 2 2 9" xfId="1617" xr:uid="{00000000-0005-0000-0000-0000EC050000}"/>
    <cellStyle name="Input 2 2 9 2" xfId="1618" xr:uid="{00000000-0005-0000-0000-0000ED050000}"/>
    <cellStyle name="Input 2 2 9 3" xfId="1619" xr:uid="{00000000-0005-0000-0000-0000EE050000}"/>
    <cellStyle name="Input 2 2 9 4" xfId="1620" xr:uid="{00000000-0005-0000-0000-0000EF050000}"/>
    <cellStyle name="Input 2 2 9 5" xfId="1621" xr:uid="{00000000-0005-0000-0000-0000F0050000}"/>
    <cellStyle name="Input 2 3" xfId="1622" xr:uid="{00000000-0005-0000-0000-0000F1050000}"/>
    <cellStyle name="Input 2 3 10" xfId="1623" xr:uid="{00000000-0005-0000-0000-0000F2050000}"/>
    <cellStyle name="Input 2 3 10 2" xfId="1624" xr:uid="{00000000-0005-0000-0000-0000F3050000}"/>
    <cellStyle name="Input 2 3 10 3" xfId="1625" xr:uid="{00000000-0005-0000-0000-0000F4050000}"/>
    <cellStyle name="Input 2 3 10 4" xfId="1626" xr:uid="{00000000-0005-0000-0000-0000F5050000}"/>
    <cellStyle name="Input 2 3 10 5" xfId="1627" xr:uid="{00000000-0005-0000-0000-0000F6050000}"/>
    <cellStyle name="Input 2 3 11" xfId="1628" xr:uid="{00000000-0005-0000-0000-0000F7050000}"/>
    <cellStyle name="Input 2 3 11 2" xfId="1629" xr:uid="{00000000-0005-0000-0000-0000F8050000}"/>
    <cellStyle name="Input 2 3 11 3" xfId="1630" xr:uid="{00000000-0005-0000-0000-0000F9050000}"/>
    <cellStyle name="Input 2 3 11 4" xfId="1631" xr:uid="{00000000-0005-0000-0000-0000FA050000}"/>
    <cellStyle name="Input 2 3 11 5" xfId="1632" xr:uid="{00000000-0005-0000-0000-0000FB050000}"/>
    <cellStyle name="Input 2 3 12" xfId="1633" xr:uid="{00000000-0005-0000-0000-0000FC050000}"/>
    <cellStyle name="Input 2 3 12 2" xfId="1634" xr:uid="{00000000-0005-0000-0000-0000FD050000}"/>
    <cellStyle name="Input 2 3 12 3" xfId="1635" xr:uid="{00000000-0005-0000-0000-0000FE050000}"/>
    <cellStyle name="Input 2 3 12 4" xfId="1636" xr:uid="{00000000-0005-0000-0000-0000FF050000}"/>
    <cellStyle name="Input 2 3 12 5" xfId="1637" xr:uid="{00000000-0005-0000-0000-000000060000}"/>
    <cellStyle name="Input 2 3 13" xfId="1638" xr:uid="{00000000-0005-0000-0000-000001060000}"/>
    <cellStyle name="Input 2 3 13 2" xfId="1639" xr:uid="{00000000-0005-0000-0000-000002060000}"/>
    <cellStyle name="Input 2 3 13 3" xfId="1640" xr:uid="{00000000-0005-0000-0000-000003060000}"/>
    <cellStyle name="Input 2 3 13 4" xfId="1641" xr:uid="{00000000-0005-0000-0000-000004060000}"/>
    <cellStyle name="Input 2 3 13 5" xfId="1642" xr:uid="{00000000-0005-0000-0000-000005060000}"/>
    <cellStyle name="Input 2 3 14" xfId="1643" xr:uid="{00000000-0005-0000-0000-000006060000}"/>
    <cellStyle name="Input 2 3 14 2" xfId="1644" xr:uid="{00000000-0005-0000-0000-000007060000}"/>
    <cellStyle name="Input 2 3 14 3" xfId="1645" xr:uid="{00000000-0005-0000-0000-000008060000}"/>
    <cellStyle name="Input 2 3 14 4" xfId="1646" xr:uid="{00000000-0005-0000-0000-000009060000}"/>
    <cellStyle name="Input 2 3 14 5" xfId="1647" xr:uid="{00000000-0005-0000-0000-00000A060000}"/>
    <cellStyle name="Input 2 3 15" xfId="1648" xr:uid="{00000000-0005-0000-0000-00000B060000}"/>
    <cellStyle name="Input 2 3 15 2" xfId="1649" xr:uid="{00000000-0005-0000-0000-00000C060000}"/>
    <cellStyle name="Input 2 3 15 3" xfId="1650" xr:uid="{00000000-0005-0000-0000-00000D060000}"/>
    <cellStyle name="Input 2 3 15 4" xfId="1651" xr:uid="{00000000-0005-0000-0000-00000E060000}"/>
    <cellStyle name="Input 2 3 15 5" xfId="1652" xr:uid="{00000000-0005-0000-0000-00000F060000}"/>
    <cellStyle name="Input 2 3 16" xfId="1653" xr:uid="{00000000-0005-0000-0000-000010060000}"/>
    <cellStyle name="Input 2 3 16 2" xfId="1654" xr:uid="{00000000-0005-0000-0000-000011060000}"/>
    <cellStyle name="Input 2 3 16 3" xfId="1655" xr:uid="{00000000-0005-0000-0000-000012060000}"/>
    <cellStyle name="Input 2 3 16 4" xfId="1656" xr:uid="{00000000-0005-0000-0000-000013060000}"/>
    <cellStyle name="Input 2 3 16 5" xfId="1657" xr:uid="{00000000-0005-0000-0000-000014060000}"/>
    <cellStyle name="Input 2 3 17" xfId="1658" xr:uid="{00000000-0005-0000-0000-000015060000}"/>
    <cellStyle name="Input 2 3 17 2" xfId="1659" xr:uid="{00000000-0005-0000-0000-000016060000}"/>
    <cellStyle name="Input 2 3 17 3" xfId="1660" xr:uid="{00000000-0005-0000-0000-000017060000}"/>
    <cellStyle name="Input 2 3 17 4" xfId="1661" xr:uid="{00000000-0005-0000-0000-000018060000}"/>
    <cellStyle name="Input 2 3 17 5" xfId="1662" xr:uid="{00000000-0005-0000-0000-000019060000}"/>
    <cellStyle name="Input 2 3 18" xfId="1663" xr:uid="{00000000-0005-0000-0000-00001A060000}"/>
    <cellStyle name="Input 2 3 18 2" xfId="1664" xr:uid="{00000000-0005-0000-0000-00001B060000}"/>
    <cellStyle name="Input 2 3 18 3" xfId="1665" xr:uid="{00000000-0005-0000-0000-00001C060000}"/>
    <cellStyle name="Input 2 3 18 4" xfId="1666" xr:uid="{00000000-0005-0000-0000-00001D060000}"/>
    <cellStyle name="Input 2 3 18 5" xfId="1667" xr:uid="{00000000-0005-0000-0000-00001E060000}"/>
    <cellStyle name="Input 2 3 19" xfId="1668" xr:uid="{00000000-0005-0000-0000-00001F060000}"/>
    <cellStyle name="Input 2 3 19 2" xfId="1669" xr:uid="{00000000-0005-0000-0000-000020060000}"/>
    <cellStyle name="Input 2 3 19 3" xfId="1670" xr:uid="{00000000-0005-0000-0000-000021060000}"/>
    <cellStyle name="Input 2 3 19 4" xfId="1671" xr:uid="{00000000-0005-0000-0000-000022060000}"/>
    <cellStyle name="Input 2 3 2" xfId="1672" xr:uid="{00000000-0005-0000-0000-000023060000}"/>
    <cellStyle name="Input 2 3 2 2" xfId="1673" xr:uid="{00000000-0005-0000-0000-000024060000}"/>
    <cellStyle name="Input 2 3 2 3" xfId="1674" xr:uid="{00000000-0005-0000-0000-000025060000}"/>
    <cellStyle name="Input 2 3 2 4" xfId="1675" xr:uid="{00000000-0005-0000-0000-000026060000}"/>
    <cellStyle name="Input 2 3 2 5" xfId="1676" xr:uid="{00000000-0005-0000-0000-000027060000}"/>
    <cellStyle name="Input 2 3 20" xfId="1677" xr:uid="{00000000-0005-0000-0000-000028060000}"/>
    <cellStyle name="Input 2 3 20 2" xfId="1678" xr:uid="{00000000-0005-0000-0000-000029060000}"/>
    <cellStyle name="Input 2 3 20 3" xfId="1679" xr:uid="{00000000-0005-0000-0000-00002A060000}"/>
    <cellStyle name="Input 2 3 20 4" xfId="1680" xr:uid="{00000000-0005-0000-0000-00002B060000}"/>
    <cellStyle name="Input 2 3 21" xfId="1681" xr:uid="{00000000-0005-0000-0000-00002C060000}"/>
    <cellStyle name="Input 2 3 21 2" xfId="1682" xr:uid="{00000000-0005-0000-0000-00002D060000}"/>
    <cellStyle name="Input 2 3 21 3" xfId="1683" xr:uid="{00000000-0005-0000-0000-00002E060000}"/>
    <cellStyle name="Input 2 3 21 4" xfId="1684" xr:uid="{00000000-0005-0000-0000-00002F060000}"/>
    <cellStyle name="Input 2 3 22" xfId="1685" xr:uid="{00000000-0005-0000-0000-000030060000}"/>
    <cellStyle name="Input 2 3 22 2" xfId="1686" xr:uid="{00000000-0005-0000-0000-000031060000}"/>
    <cellStyle name="Input 2 3 22 3" xfId="1687" xr:uid="{00000000-0005-0000-0000-000032060000}"/>
    <cellStyle name="Input 2 3 22 4" xfId="1688" xr:uid="{00000000-0005-0000-0000-000033060000}"/>
    <cellStyle name="Input 2 3 23" xfId="1689" xr:uid="{00000000-0005-0000-0000-000034060000}"/>
    <cellStyle name="Input 2 3 3" xfId="1690" xr:uid="{00000000-0005-0000-0000-000035060000}"/>
    <cellStyle name="Input 2 3 3 2" xfId="1691" xr:uid="{00000000-0005-0000-0000-000036060000}"/>
    <cellStyle name="Input 2 3 3 3" xfId="1692" xr:uid="{00000000-0005-0000-0000-000037060000}"/>
    <cellStyle name="Input 2 3 3 4" xfId="1693" xr:uid="{00000000-0005-0000-0000-000038060000}"/>
    <cellStyle name="Input 2 3 3 5" xfId="1694" xr:uid="{00000000-0005-0000-0000-000039060000}"/>
    <cellStyle name="Input 2 3 4" xfId="1695" xr:uid="{00000000-0005-0000-0000-00003A060000}"/>
    <cellStyle name="Input 2 3 4 2" xfId="1696" xr:uid="{00000000-0005-0000-0000-00003B060000}"/>
    <cellStyle name="Input 2 3 4 3" xfId="1697" xr:uid="{00000000-0005-0000-0000-00003C060000}"/>
    <cellStyle name="Input 2 3 4 4" xfId="1698" xr:uid="{00000000-0005-0000-0000-00003D060000}"/>
    <cellStyle name="Input 2 3 4 5" xfId="1699" xr:uid="{00000000-0005-0000-0000-00003E060000}"/>
    <cellStyle name="Input 2 3 5" xfId="1700" xr:uid="{00000000-0005-0000-0000-00003F060000}"/>
    <cellStyle name="Input 2 3 5 2" xfId="1701" xr:uid="{00000000-0005-0000-0000-000040060000}"/>
    <cellStyle name="Input 2 3 5 3" xfId="1702" xr:uid="{00000000-0005-0000-0000-000041060000}"/>
    <cellStyle name="Input 2 3 5 4" xfId="1703" xr:uid="{00000000-0005-0000-0000-000042060000}"/>
    <cellStyle name="Input 2 3 5 5" xfId="1704" xr:uid="{00000000-0005-0000-0000-000043060000}"/>
    <cellStyle name="Input 2 3 6" xfId="1705" xr:uid="{00000000-0005-0000-0000-000044060000}"/>
    <cellStyle name="Input 2 3 6 2" xfId="1706" xr:uid="{00000000-0005-0000-0000-000045060000}"/>
    <cellStyle name="Input 2 3 6 3" xfId="1707" xr:uid="{00000000-0005-0000-0000-000046060000}"/>
    <cellStyle name="Input 2 3 6 4" xfId="1708" xr:uid="{00000000-0005-0000-0000-000047060000}"/>
    <cellStyle name="Input 2 3 6 5" xfId="1709" xr:uid="{00000000-0005-0000-0000-000048060000}"/>
    <cellStyle name="Input 2 3 7" xfId="1710" xr:uid="{00000000-0005-0000-0000-000049060000}"/>
    <cellStyle name="Input 2 3 7 2" xfId="1711" xr:uid="{00000000-0005-0000-0000-00004A060000}"/>
    <cellStyle name="Input 2 3 7 3" xfId="1712" xr:uid="{00000000-0005-0000-0000-00004B060000}"/>
    <cellStyle name="Input 2 3 7 4" xfId="1713" xr:uid="{00000000-0005-0000-0000-00004C060000}"/>
    <cellStyle name="Input 2 3 7 5" xfId="1714" xr:uid="{00000000-0005-0000-0000-00004D060000}"/>
    <cellStyle name="Input 2 3 8" xfId="1715" xr:uid="{00000000-0005-0000-0000-00004E060000}"/>
    <cellStyle name="Input 2 3 8 2" xfId="1716" xr:uid="{00000000-0005-0000-0000-00004F060000}"/>
    <cellStyle name="Input 2 3 8 3" xfId="1717" xr:uid="{00000000-0005-0000-0000-000050060000}"/>
    <cellStyle name="Input 2 3 8 4" xfId="1718" xr:uid="{00000000-0005-0000-0000-000051060000}"/>
    <cellStyle name="Input 2 3 8 5" xfId="1719" xr:uid="{00000000-0005-0000-0000-000052060000}"/>
    <cellStyle name="Input 2 3 9" xfId="1720" xr:uid="{00000000-0005-0000-0000-000053060000}"/>
    <cellStyle name="Input 2 3 9 2" xfId="1721" xr:uid="{00000000-0005-0000-0000-000054060000}"/>
    <cellStyle name="Input 2 3 9 3" xfId="1722" xr:uid="{00000000-0005-0000-0000-000055060000}"/>
    <cellStyle name="Input 2 3 9 4" xfId="1723" xr:uid="{00000000-0005-0000-0000-000056060000}"/>
    <cellStyle name="Input 2 3 9 5" xfId="1724" xr:uid="{00000000-0005-0000-0000-000057060000}"/>
    <cellStyle name="Input 2 4" xfId="1725" xr:uid="{00000000-0005-0000-0000-000058060000}"/>
    <cellStyle name="Input 2 4 10" xfId="1726" xr:uid="{00000000-0005-0000-0000-000059060000}"/>
    <cellStyle name="Input 2 4 10 2" xfId="1727" xr:uid="{00000000-0005-0000-0000-00005A060000}"/>
    <cellStyle name="Input 2 4 10 3" xfId="1728" xr:uid="{00000000-0005-0000-0000-00005B060000}"/>
    <cellStyle name="Input 2 4 10 4" xfId="1729" xr:uid="{00000000-0005-0000-0000-00005C060000}"/>
    <cellStyle name="Input 2 4 10 5" xfId="1730" xr:uid="{00000000-0005-0000-0000-00005D060000}"/>
    <cellStyle name="Input 2 4 11" xfId="1731" xr:uid="{00000000-0005-0000-0000-00005E060000}"/>
    <cellStyle name="Input 2 4 11 2" xfId="1732" xr:uid="{00000000-0005-0000-0000-00005F060000}"/>
    <cellStyle name="Input 2 4 11 3" xfId="1733" xr:uid="{00000000-0005-0000-0000-000060060000}"/>
    <cellStyle name="Input 2 4 11 4" xfId="1734" xr:uid="{00000000-0005-0000-0000-000061060000}"/>
    <cellStyle name="Input 2 4 11 5" xfId="1735" xr:uid="{00000000-0005-0000-0000-000062060000}"/>
    <cellStyle name="Input 2 4 12" xfId="1736" xr:uid="{00000000-0005-0000-0000-000063060000}"/>
    <cellStyle name="Input 2 4 12 2" xfId="1737" xr:uid="{00000000-0005-0000-0000-000064060000}"/>
    <cellStyle name="Input 2 4 12 3" xfId="1738" xr:uid="{00000000-0005-0000-0000-000065060000}"/>
    <cellStyle name="Input 2 4 12 4" xfId="1739" xr:uid="{00000000-0005-0000-0000-000066060000}"/>
    <cellStyle name="Input 2 4 12 5" xfId="1740" xr:uid="{00000000-0005-0000-0000-000067060000}"/>
    <cellStyle name="Input 2 4 13" xfId="1741" xr:uid="{00000000-0005-0000-0000-000068060000}"/>
    <cellStyle name="Input 2 4 13 2" xfId="1742" xr:uid="{00000000-0005-0000-0000-000069060000}"/>
    <cellStyle name="Input 2 4 13 3" xfId="1743" xr:uid="{00000000-0005-0000-0000-00006A060000}"/>
    <cellStyle name="Input 2 4 13 4" xfId="1744" xr:uid="{00000000-0005-0000-0000-00006B060000}"/>
    <cellStyle name="Input 2 4 13 5" xfId="1745" xr:uid="{00000000-0005-0000-0000-00006C060000}"/>
    <cellStyle name="Input 2 4 14" xfId="1746" xr:uid="{00000000-0005-0000-0000-00006D060000}"/>
    <cellStyle name="Input 2 4 14 2" xfId="1747" xr:uid="{00000000-0005-0000-0000-00006E060000}"/>
    <cellStyle name="Input 2 4 14 3" xfId="1748" xr:uid="{00000000-0005-0000-0000-00006F060000}"/>
    <cellStyle name="Input 2 4 14 4" xfId="1749" xr:uid="{00000000-0005-0000-0000-000070060000}"/>
    <cellStyle name="Input 2 4 14 5" xfId="1750" xr:uid="{00000000-0005-0000-0000-000071060000}"/>
    <cellStyle name="Input 2 4 15" xfId="1751" xr:uid="{00000000-0005-0000-0000-000072060000}"/>
    <cellStyle name="Input 2 4 15 2" xfId="1752" xr:uid="{00000000-0005-0000-0000-000073060000}"/>
    <cellStyle name="Input 2 4 15 3" xfId="1753" xr:uid="{00000000-0005-0000-0000-000074060000}"/>
    <cellStyle name="Input 2 4 15 4" xfId="1754" xr:uid="{00000000-0005-0000-0000-000075060000}"/>
    <cellStyle name="Input 2 4 15 5" xfId="1755" xr:uid="{00000000-0005-0000-0000-000076060000}"/>
    <cellStyle name="Input 2 4 16" xfId="1756" xr:uid="{00000000-0005-0000-0000-000077060000}"/>
    <cellStyle name="Input 2 4 16 2" xfId="1757" xr:uid="{00000000-0005-0000-0000-000078060000}"/>
    <cellStyle name="Input 2 4 16 3" xfId="1758" xr:uid="{00000000-0005-0000-0000-000079060000}"/>
    <cellStyle name="Input 2 4 16 4" xfId="1759" xr:uid="{00000000-0005-0000-0000-00007A060000}"/>
    <cellStyle name="Input 2 4 16 5" xfId="1760" xr:uid="{00000000-0005-0000-0000-00007B060000}"/>
    <cellStyle name="Input 2 4 17" xfId="1761" xr:uid="{00000000-0005-0000-0000-00007C060000}"/>
    <cellStyle name="Input 2 4 17 2" xfId="1762" xr:uid="{00000000-0005-0000-0000-00007D060000}"/>
    <cellStyle name="Input 2 4 17 3" xfId="1763" xr:uid="{00000000-0005-0000-0000-00007E060000}"/>
    <cellStyle name="Input 2 4 17 4" xfId="1764" xr:uid="{00000000-0005-0000-0000-00007F060000}"/>
    <cellStyle name="Input 2 4 17 5" xfId="1765" xr:uid="{00000000-0005-0000-0000-000080060000}"/>
    <cellStyle name="Input 2 4 18" xfId="1766" xr:uid="{00000000-0005-0000-0000-000081060000}"/>
    <cellStyle name="Input 2 4 18 2" xfId="1767" xr:uid="{00000000-0005-0000-0000-000082060000}"/>
    <cellStyle name="Input 2 4 18 3" xfId="1768" xr:uid="{00000000-0005-0000-0000-000083060000}"/>
    <cellStyle name="Input 2 4 18 4" xfId="1769" xr:uid="{00000000-0005-0000-0000-000084060000}"/>
    <cellStyle name="Input 2 4 18 5" xfId="1770" xr:uid="{00000000-0005-0000-0000-000085060000}"/>
    <cellStyle name="Input 2 4 19" xfId="1771" xr:uid="{00000000-0005-0000-0000-000086060000}"/>
    <cellStyle name="Input 2 4 19 2" xfId="1772" xr:uid="{00000000-0005-0000-0000-000087060000}"/>
    <cellStyle name="Input 2 4 19 3" xfId="1773" xr:uid="{00000000-0005-0000-0000-000088060000}"/>
    <cellStyle name="Input 2 4 19 4" xfId="1774" xr:uid="{00000000-0005-0000-0000-000089060000}"/>
    <cellStyle name="Input 2 4 2" xfId="1775" xr:uid="{00000000-0005-0000-0000-00008A060000}"/>
    <cellStyle name="Input 2 4 2 2" xfId="1776" xr:uid="{00000000-0005-0000-0000-00008B060000}"/>
    <cellStyle name="Input 2 4 2 3" xfId="1777" xr:uid="{00000000-0005-0000-0000-00008C060000}"/>
    <cellStyle name="Input 2 4 2 4" xfId="1778" xr:uid="{00000000-0005-0000-0000-00008D060000}"/>
    <cellStyle name="Input 2 4 2 5" xfId="1779" xr:uid="{00000000-0005-0000-0000-00008E060000}"/>
    <cellStyle name="Input 2 4 20" xfId="1780" xr:uid="{00000000-0005-0000-0000-00008F060000}"/>
    <cellStyle name="Input 2 4 20 2" xfId="1781" xr:uid="{00000000-0005-0000-0000-000090060000}"/>
    <cellStyle name="Input 2 4 20 3" xfId="1782" xr:uid="{00000000-0005-0000-0000-000091060000}"/>
    <cellStyle name="Input 2 4 20 4" xfId="1783" xr:uid="{00000000-0005-0000-0000-000092060000}"/>
    <cellStyle name="Input 2 4 21" xfId="1784" xr:uid="{00000000-0005-0000-0000-000093060000}"/>
    <cellStyle name="Input 2 4 21 2" xfId="1785" xr:uid="{00000000-0005-0000-0000-000094060000}"/>
    <cellStyle name="Input 2 4 21 3" xfId="1786" xr:uid="{00000000-0005-0000-0000-000095060000}"/>
    <cellStyle name="Input 2 4 21 4" xfId="1787" xr:uid="{00000000-0005-0000-0000-000096060000}"/>
    <cellStyle name="Input 2 4 22" xfId="1788" xr:uid="{00000000-0005-0000-0000-000097060000}"/>
    <cellStyle name="Input 2 4 22 2" xfId="1789" xr:uid="{00000000-0005-0000-0000-000098060000}"/>
    <cellStyle name="Input 2 4 22 3" xfId="1790" xr:uid="{00000000-0005-0000-0000-000099060000}"/>
    <cellStyle name="Input 2 4 22 4" xfId="1791" xr:uid="{00000000-0005-0000-0000-00009A060000}"/>
    <cellStyle name="Input 2 4 23" xfId="1792" xr:uid="{00000000-0005-0000-0000-00009B060000}"/>
    <cellStyle name="Input 2 4 3" xfId="1793" xr:uid="{00000000-0005-0000-0000-00009C060000}"/>
    <cellStyle name="Input 2 4 3 2" xfId="1794" xr:uid="{00000000-0005-0000-0000-00009D060000}"/>
    <cellStyle name="Input 2 4 3 3" xfId="1795" xr:uid="{00000000-0005-0000-0000-00009E060000}"/>
    <cellStyle name="Input 2 4 3 4" xfId="1796" xr:uid="{00000000-0005-0000-0000-00009F060000}"/>
    <cellStyle name="Input 2 4 3 5" xfId="1797" xr:uid="{00000000-0005-0000-0000-0000A0060000}"/>
    <cellStyle name="Input 2 4 4" xfId="1798" xr:uid="{00000000-0005-0000-0000-0000A1060000}"/>
    <cellStyle name="Input 2 4 4 2" xfId="1799" xr:uid="{00000000-0005-0000-0000-0000A2060000}"/>
    <cellStyle name="Input 2 4 4 3" xfId="1800" xr:uid="{00000000-0005-0000-0000-0000A3060000}"/>
    <cellStyle name="Input 2 4 4 4" xfId="1801" xr:uid="{00000000-0005-0000-0000-0000A4060000}"/>
    <cellStyle name="Input 2 4 4 5" xfId="1802" xr:uid="{00000000-0005-0000-0000-0000A5060000}"/>
    <cellStyle name="Input 2 4 5" xfId="1803" xr:uid="{00000000-0005-0000-0000-0000A6060000}"/>
    <cellStyle name="Input 2 4 5 2" xfId="1804" xr:uid="{00000000-0005-0000-0000-0000A7060000}"/>
    <cellStyle name="Input 2 4 5 3" xfId="1805" xr:uid="{00000000-0005-0000-0000-0000A8060000}"/>
    <cellStyle name="Input 2 4 5 4" xfId="1806" xr:uid="{00000000-0005-0000-0000-0000A9060000}"/>
    <cellStyle name="Input 2 4 5 5" xfId="1807" xr:uid="{00000000-0005-0000-0000-0000AA060000}"/>
    <cellStyle name="Input 2 4 6" xfId="1808" xr:uid="{00000000-0005-0000-0000-0000AB060000}"/>
    <cellStyle name="Input 2 4 6 2" xfId="1809" xr:uid="{00000000-0005-0000-0000-0000AC060000}"/>
    <cellStyle name="Input 2 4 6 3" xfId="1810" xr:uid="{00000000-0005-0000-0000-0000AD060000}"/>
    <cellStyle name="Input 2 4 6 4" xfId="1811" xr:uid="{00000000-0005-0000-0000-0000AE060000}"/>
    <cellStyle name="Input 2 4 6 5" xfId="1812" xr:uid="{00000000-0005-0000-0000-0000AF060000}"/>
    <cellStyle name="Input 2 4 7" xfId="1813" xr:uid="{00000000-0005-0000-0000-0000B0060000}"/>
    <cellStyle name="Input 2 4 7 2" xfId="1814" xr:uid="{00000000-0005-0000-0000-0000B1060000}"/>
    <cellStyle name="Input 2 4 7 3" xfId="1815" xr:uid="{00000000-0005-0000-0000-0000B2060000}"/>
    <cellStyle name="Input 2 4 7 4" xfId="1816" xr:uid="{00000000-0005-0000-0000-0000B3060000}"/>
    <cellStyle name="Input 2 4 7 5" xfId="1817" xr:uid="{00000000-0005-0000-0000-0000B4060000}"/>
    <cellStyle name="Input 2 4 8" xfId="1818" xr:uid="{00000000-0005-0000-0000-0000B5060000}"/>
    <cellStyle name="Input 2 4 8 2" xfId="1819" xr:uid="{00000000-0005-0000-0000-0000B6060000}"/>
    <cellStyle name="Input 2 4 8 3" xfId="1820" xr:uid="{00000000-0005-0000-0000-0000B7060000}"/>
    <cellStyle name="Input 2 4 8 4" xfId="1821" xr:uid="{00000000-0005-0000-0000-0000B8060000}"/>
    <cellStyle name="Input 2 4 8 5" xfId="1822" xr:uid="{00000000-0005-0000-0000-0000B9060000}"/>
    <cellStyle name="Input 2 4 9" xfId="1823" xr:uid="{00000000-0005-0000-0000-0000BA060000}"/>
    <cellStyle name="Input 2 4 9 2" xfId="1824" xr:uid="{00000000-0005-0000-0000-0000BB060000}"/>
    <cellStyle name="Input 2 4 9 3" xfId="1825" xr:uid="{00000000-0005-0000-0000-0000BC060000}"/>
    <cellStyle name="Input 2 4 9 4" xfId="1826" xr:uid="{00000000-0005-0000-0000-0000BD060000}"/>
    <cellStyle name="Input 2 4 9 5" xfId="1827" xr:uid="{00000000-0005-0000-0000-0000BE060000}"/>
    <cellStyle name="Input 2 5" xfId="1828" xr:uid="{00000000-0005-0000-0000-0000BF060000}"/>
    <cellStyle name="Input 2 5 10" xfId="1829" xr:uid="{00000000-0005-0000-0000-0000C0060000}"/>
    <cellStyle name="Input 2 5 10 2" xfId="1830" xr:uid="{00000000-0005-0000-0000-0000C1060000}"/>
    <cellStyle name="Input 2 5 10 3" xfId="1831" xr:uid="{00000000-0005-0000-0000-0000C2060000}"/>
    <cellStyle name="Input 2 5 10 4" xfId="1832" xr:uid="{00000000-0005-0000-0000-0000C3060000}"/>
    <cellStyle name="Input 2 5 10 5" xfId="1833" xr:uid="{00000000-0005-0000-0000-0000C4060000}"/>
    <cellStyle name="Input 2 5 11" xfId="1834" xr:uid="{00000000-0005-0000-0000-0000C5060000}"/>
    <cellStyle name="Input 2 5 11 2" xfId="1835" xr:uid="{00000000-0005-0000-0000-0000C6060000}"/>
    <cellStyle name="Input 2 5 11 3" xfId="1836" xr:uid="{00000000-0005-0000-0000-0000C7060000}"/>
    <cellStyle name="Input 2 5 11 4" xfId="1837" xr:uid="{00000000-0005-0000-0000-0000C8060000}"/>
    <cellStyle name="Input 2 5 11 5" xfId="1838" xr:uid="{00000000-0005-0000-0000-0000C9060000}"/>
    <cellStyle name="Input 2 5 12" xfId="1839" xr:uid="{00000000-0005-0000-0000-0000CA060000}"/>
    <cellStyle name="Input 2 5 12 2" xfId="1840" xr:uid="{00000000-0005-0000-0000-0000CB060000}"/>
    <cellStyle name="Input 2 5 12 3" xfId="1841" xr:uid="{00000000-0005-0000-0000-0000CC060000}"/>
    <cellStyle name="Input 2 5 12 4" xfId="1842" xr:uid="{00000000-0005-0000-0000-0000CD060000}"/>
    <cellStyle name="Input 2 5 12 5" xfId="1843" xr:uid="{00000000-0005-0000-0000-0000CE060000}"/>
    <cellStyle name="Input 2 5 13" xfId="1844" xr:uid="{00000000-0005-0000-0000-0000CF060000}"/>
    <cellStyle name="Input 2 5 13 2" xfId="1845" xr:uid="{00000000-0005-0000-0000-0000D0060000}"/>
    <cellStyle name="Input 2 5 13 3" xfId="1846" xr:uid="{00000000-0005-0000-0000-0000D1060000}"/>
    <cellStyle name="Input 2 5 13 4" xfId="1847" xr:uid="{00000000-0005-0000-0000-0000D2060000}"/>
    <cellStyle name="Input 2 5 13 5" xfId="1848" xr:uid="{00000000-0005-0000-0000-0000D3060000}"/>
    <cellStyle name="Input 2 5 14" xfId="1849" xr:uid="{00000000-0005-0000-0000-0000D4060000}"/>
    <cellStyle name="Input 2 5 14 2" xfId="1850" xr:uid="{00000000-0005-0000-0000-0000D5060000}"/>
    <cellStyle name="Input 2 5 14 3" xfId="1851" xr:uid="{00000000-0005-0000-0000-0000D6060000}"/>
    <cellStyle name="Input 2 5 14 4" xfId="1852" xr:uid="{00000000-0005-0000-0000-0000D7060000}"/>
    <cellStyle name="Input 2 5 14 5" xfId="1853" xr:uid="{00000000-0005-0000-0000-0000D8060000}"/>
    <cellStyle name="Input 2 5 15" xfId="1854" xr:uid="{00000000-0005-0000-0000-0000D9060000}"/>
    <cellStyle name="Input 2 5 15 2" xfId="1855" xr:uid="{00000000-0005-0000-0000-0000DA060000}"/>
    <cellStyle name="Input 2 5 15 3" xfId="1856" xr:uid="{00000000-0005-0000-0000-0000DB060000}"/>
    <cellStyle name="Input 2 5 15 4" xfId="1857" xr:uid="{00000000-0005-0000-0000-0000DC060000}"/>
    <cellStyle name="Input 2 5 15 5" xfId="1858" xr:uid="{00000000-0005-0000-0000-0000DD060000}"/>
    <cellStyle name="Input 2 5 16" xfId="1859" xr:uid="{00000000-0005-0000-0000-0000DE060000}"/>
    <cellStyle name="Input 2 5 16 2" xfId="1860" xr:uid="{00000000-0005-0000-0000-0000DF060000}"/>
    <cellStyle name="Input 2 5 16 3" xfId="1861" xr:uid="{00000000-0005-0000-0000-0000E0060000}"/>
    <cellStyle name="Input 2 5 16 4" xfId="1862" xr:uid="{00000000-0005-0000-0000-0000E1060000}"/>
    <cellStyle name="Input 2 5 16 5" xfId="1863" xr:uid="{00000000-0005-0000-0000-0000E2060000}"/>
    <cellStyle name="Input 2 5 17" xfId="1864" xr:uid="{00000000-0005-0000-0000-0000E3060000}"/>
    <cellStyle name="Input 2 5 17 2" xfId="1865" xr:uid="{00000000-0005-0000-0000-0000E4060000}"/>
    <cellStyle name="Input 2 5 17 3" xfId="1866" xr:uid="{00000000-0005-0000-0000-0000E5060000}"/>
    <cellStyle name="Input 2 5 17 4" xfId="1867" xr:uid="{00000000-0005-0000-0000-0000E6060000}"/>
    <cellStyle name="Input 2 5 17 5" xfId="1868" xr:uid="{00000000-0005-0000-0000-0000E7060000}"/>
    <cellStyle name="Input 2 5 18" xfId="1869" xr:uid="{00000000-0005-0000-0000-0000E8060000}"/>
    <cellStyle name="Input 2 5 18 2" xfId="1870" xr:uid="{00000000-0005-0000-0000-0000E9060000}"/>
    <cellStyle name="Input 2 5 18 3" xfId="1871" xr:uid="{00000000-0005-0000-0000-0000EA060000}"/>
    <cellStyle name="Input 2 5 18 4" xfId="1872" xr:uid="{00000000-0005-0000-0000-0000EB060000}"/>
    <cellStyle name="Input 2 5 18 5" xfId="1873" xr:uid="{00000000-0005-0000-0000-0000EC060000}"/>
    <cellStyle name="Input 2 5 19" xfId="1874" xr:uid="{00000000-0005-0000-0000-0000ED060000}"/>
    <cellStyle name="Input 2 5 19 2" xfId="1875" xr:uid="{00000000-0005-0000-0000-0000EE060000}"/>
    <cellStyle name="Input 2 5 19 3" xfId="1876" xr:uid="{00000000-0005-0000-0000-0000EF060000}"/>
    <cellStyle name="Input 2 5 19 4" xfId="1877" xr:uid="{00000000-0005-0000-0000-0000F0060000}"/>
    <cellStyle name="Input 2 5 2" xfId="1878" xr:uid="{00000000-0005-0000-0000-0000F1060000}"/>
    <cellStyle name="Input 2 5 2 2" xfId="1879" xr:uid="{00000000-0005-0000-0000-0000F2060000}"/>
    <cellStyle name="Input 2 5 2 3" xfId="1880" xr:uid="{00000000-0005-0000-0000-0000F3060000}"/>
    <cellStyle name="Input 2 5 2 4" xfId="1881" xr:uid="{00000000-0005-0000-0000-0000F4060000}"/>
    <cellStyle name="Input 2 5 2 5" xfId="1882" xr:uid="{00000000-0005-0000-0000-0000F5060000}"/>
    <cellStyle name="Input 2 5 20" xfId="1883" xr:uid="{00000000-0005-0000-0000-0000F6060000}"/>
    <cellStyle name="Input 2 5 20 2" xfId="1884" xr:uid="{00000000-0005-0000-0000-0000F7060000}"/>
    <cellStyle name="Input 2 5 20 3" xfId="1885" xr:uid="{00000000-0005-0000-0000-0000F8060000}"/>
    <cellStyle name="Input 2 5 20 4" xfId="1886" xr:uid="{00000000-0005-0000-0000-0000F9060000}"/>
    <cellStyle name="Input 2 5 21" xfId="1887" xr:uid="{00000000-0005-0000-0000-0000FA060000}"/>
    <cellStyle name="Input 2 5 21 2" xfId="1888" xr:uid="{00000000-0005-0000-0000-0000FB060000}"/>
    <cellStyle name="Input 2 5 21 3" xfId="1889" xr:uid="{00000000-0005-0000-0000-0000FC060000}"/>
    <cellStyle name="Input 2 5 21 4" xfId="1890" xr:uid="{00000000-0005-0000-0000-0000FD060000}"/>
    <cellStyle name="Input 2 5 22" xfId="1891" xr:uid="{00000000-0005-0000-0000-0000FE060000}"/>
    <cellStyle name="Input 2 5 22 2" xfId="1892" xr:uid="{00000000-0005-0000-0000-0000FF060000}"/>
    <cellStyle name="Input 2 5 22 3" xfId="1893" xr:uid="{00000000-0005-0000-0000-000000070000}"/>
    <cellStyle name="Input 2 5 22 4" xfId="1894" xr:uid="{00000000-0005-0000-0000-000001070000}"/>
    <cellStyle name="Input 2 5 23" xfId="1895" xr:uid="{00000000-0005-0000-0000-000002070000}"/>
    <cellStyle name="Input 2 5 3" xfId="1896" xr:uid="{00000000-0005-0000-0000-000003070000}"/>
    <cellStyle name="Input 2 5 3 2" xfId="1897" xr:uid="{00000000-0005-0000-0000-000004070000}"/>
    <cellStyle name="Input 2 5 3 3" xfId="1898" xr:uid="{00000000-0005-0000-0000-000005070000}"/>
    <cellStyle name="Input 2 5 3 4" xfId="1899" xr:uid="{00000000-0005-0000-0000-000006070000}"/>
    <cellStyle name="Input 2 5 3 5" xfId="1900" xr:uid="{00000000-0005-0000-0000-000007070000}"/>
    <cellStyle name="Input 2 5 4" xfId="1901" xr:uid="{00000000-0005-0000-0000-000008070000}"/>
    <cellStyle name="Input 2 5 4 2" xfId="1902" xr:uid="{00000000-0005-0000-0000-000009070000}"/>
    <cellStyle name="Input 2 5 4 3" xfId="1903" xr:uid="{00000000-0005-0000-0000-00000A070000}"/>
    <cellStyle name="Input 2 5 4 4" xfId="1904" xr:uid="{00000000-0005-0000-0000-00000B070000}"/>
    <cellStyle name="Input 2 5 4 5" xfId="1905" xr:uid="{00000000-0005-0000-0000-00000C070000}"/>
    <cellStyle name="Input 2 5 5" xfId="1906" xr:uid="{00000000-0005-0000-0000-00000D070000}"/>
    <cellStyle name="Input 2 5 5 2" xfId="1907" xr:uid="{00000000-0005-0000-0000-00000E070000}"/>
    <cellStyle name="Input 2 5 5 3" xfId="1908" xr:uid="{00000000-0005-0000-0000-00000F070000}"/>
    <cellStyle name="Input 2 5 5 4" xfId="1909" xr:uid="{00000000-0005-0000-0000-000010070000}"/>
    <cellStyle name="Input 2 5 5 5" xfId="1910" xr:uid="{00000000-0005-0000-0000-000011070000}"/>
    <cellStyle name="Input 2 5 6" xfId="1911" xr:uid="{00000000-0005-0000-0000-000012070000}"/>
    <cellStyle name="Input 2 5 6 2" xfId="1912" xr:uid="{00000000-0005-0000-0000-000013070000}"/>
    <cellStyle name="Input 2 5 6 3" xfId="1913" xr:uid="{00000000-0005-0000-0000-000014070000}"/>
    <cellStyle name="Input 2 5 6 4" xfId="1914" xr:uid="{00000000-0005-0000-0000-000015070000}"/>
    <cellStyle name="Input 2 5 6 5" xfId="1915" xr:uid="{00000000-0005-0000-0000-000016070000}"/>
    <cellStyle name="Input 2 5 7" xfId="1916" xr:uid="{00000000-0005-0000-0000-000017070000}"/>
    <cellStyle name="Input 2 5 7 2" xfId="1917" xr:uid="{00000000-0005-0000-0000-000018070000}"/>
    <cellStyle name="Input 2 5 7 3" xfId="1918" xr:uid="{00000000-0005-0000-0000-000019070000}"/>
    <cellStyle name="Input 2 5 7 4" xfId="1919" xr:uid="{00000000-0005-0000-0000-00001A070000}"/>
    <cellStyle name="Input 2 5 7 5" xfId="1920" xr:uid="{00000000-0005-0000-0000-00001B070000}"/>
    <cellStyle name="Input 2 5 8" xfId="1921" xr:uid="{00000000-0005-0000-0000-00001C070000}"/>
    <cellStyle name="Input 2 5 8 2" xfId="1922" xr:uid="{00000000-0005-0000-0000-00001D070000}"/>
    <cellStyle name="Input 2 5 8 3" xfId="1923" xr:uid="{00000000-0005-0000-0000-00001E070000}"/>
    <cellStyle name="Input 2 5 8 4" xfId="1924" xr:uid="{00000000-0005-0000-0000-00001F070000}"/>
    <cellStyle name="Input 2 5 8 5" xfId="1925" xr:uid="{00000000-0005-0000-0000-000020070000}"/>
    <cellStyle name="Input 2 5 9" xfId="1926" xr:uid="{00000000-0005-0000-0000-000021070000}"/>
    <cellStyle name="Input 2 5 9 2" xfId="1927" xr:uid="{00000000-0005-0000-0000-000022070000}"/>
    <cellStyle name="Input 2 5 9 3" xfId="1928" xr:uid="{00000000-0005-0000-0000-000023070000}"/>
    <cellStyle name="Input 2 5 9 4" xfId="1929" xr:uid="{00000000-0005-0000-0000-000024070000}"/>
    <cellStyle name="Input 2 5 9 5" xfId="1930" xr:uid="{00000000-0005-0000-0000-000025070000}"/>
    <cellStyle name="Input 2 6" xfId="1931" xr:uid="{00000000-0005-0000-0000-000026070000}"/>
    <cellStyle name="Input 2 6 10" xfId="1932" xr:uid="{00000000-0005-0000-0000-000027070000}"/>
    <cellStyle name="Input 2 6 10 2" xfId="1933" xr:uid="{00000000-0005-0000-0000-000028070000}"/>
    <cellStyle name="Input 2 6 10 3" xfId="1934" xr:uid="{00000000-0005-0000-0000-000029070000}"/>
    <cellStyle name="Input 2 6 10 4" xfId="1935" xr:uid="{00000000-0005-0000-0000-00002A070000}"/>
    <cellStyle name="Input 2 6 10 5" xfId="1936" xr:uid="{00000000-0005-0000-0000-00002B070000}"/>
    <cellStyle name="Input 2 6 11" xfId="1937" xr:uid="{00000000-0005-0000-0000-00002C070000}"/>
    <cellStyle name="Input 2 6 11 2" xfId="1938" xr:uid="{00000000-0005-0000-0000-00002D070000}"/>
    <cellStyle name="Input 2 6 11 3" xfId="1939" xr:uid="{00000000-0005-0000-0000-00002E070000}"/>
    <cellStyle name="Input 2 6 11 4" xfId="1940" xr:uid="{00000000-0005-0000-0000-00002F070000}"/>
    <cellStyle name="Input 2 6 11 5" xfId="1941" xr:uid="{00000000-0005-0000-0000-000030070000}"/>
    <cellStyle name="Input 2 6 12" xfId="1942" xr:uid="{00000000-0005-0000-0000-000031070000}"/>
    <cellStyle name="Input 2 6 12 2" xfId="1943" xr:uid="{00000000-0005-0000-0000-000032070000}"/>
    <cellStyle name="Input 2 6 12 3" xfId="1944" xr:uid="{00000000-0005-0000-0000-000033070000}"/>
    <cellStyle name="Input 2 6 12 4" xfId="1945" xr:uid="{00000000-0005-0000-0000-000034070000}"/>
    <cellStyle name="Input 2 6 12 5" xfId="1946" xr:uid="{00000000-0005-0000-0000-000035070000}"/>
    <cellStyle name="Input 2 6 13" xfId="1947" xr:uid="{00000000-0005-0000-0000-000036070000}"/>
    <cellStyle name="Input 2 6 13 2" xfId="1948" xr:uid="{00000000-0005-0000-0000-000037070000}"/>
    <cellStyle name="Input 2 6 13 3" xfId="1949" xr:uid="{00000000-0005-0000-0000-000038070000}"/>
    <cellStyle name="Input 2 6 13 4" xfId="1950" xr:uid="{00000000-0005-0000-0000-000039070000}"/>
    <cellStyle name="Input 2 6 13 5" xfId="1951" xr:uid="{00000000-0005-0000-0000-00003A070000}"/>
    <cellStyle name="Input 2 6 14" xfId="1952" xr:uid="{00000000-0005-0000-0000-00003B070000}"/>
    <cellStyle name="Input 2 6 14 2" xfId="1953" xr:uid="{00000000-0005-0000-0000-00003C070000}"/>
    <cellStyle name="Input 2 6 14 3" xfId="1954" xr:uid="{00000000-0005-0000-0000-00003D070000}"/>
    <cellStyle name="Input 2 6 14 4" xfId="1955" xr:uid="{00000000-0005-0000-0000-00003E070000}"/>
    <cellStyle name="Input 2 6 14 5" xfId="1956" xr:uid="{00000000-0005-0000-0000-00003F070000}"/>
    <cellStyle name="Input 2 6 15" xfId="1957" xr:uid="{00000000-0005-0000-0000-000040070000}"/>
    <cellStyle name="Input 2 6 15 2" xfId="1958" xr:uid="{00000000-0005-0000-0000-000041070000}"/>
    <cellStyle name="Input 2 6 15 3" xfId="1959" xr:uid="{00000000-0005-0000-0000-000042070000}"/>
    <cellStyle name="Input 2 6 15 4" xfId="1960" xr:uid="{00000000-0005-0000-0000-000043070000}"/>
    <cellStyle name="Input 2 6 15 5" xfId="1961" xr:uid="{00000000-0005-0000-0000-000044070000}"/>
    <cellStyle name="Input 2 6 16" xfId="1962" xr:uid="{00000000-0005-0000-0000-000045070000}"/>
    <cellStyle name="Input 2 6 16 2" xfId="1963" xr:uid="{00000000-0005-0000-0000-000046070000}"/>
    <cellStyle name="Input 2 6 16 3" xfId="1964" xr:uid="{00000000-0005-0000-0000-000047070000}"/>
    <cellStyle name="Input 2 6 16 4" xfId="1965" xr:uid="{00000000-0005-0000-0000-000048070000}"/>
    <cellStyle name="Input 2 6 16 5" xfId="1966" xr:uid="{00000000-0005-0000-0000-000049070000}"/>
    <cellStyle name="Input 2 6 17" xfId="1967" xr:uid="{00000000-0005-0000-0000-00004A070000}"/>
    <cellStyle name="Input 2 6 17 2" xfId="1968" xr:uid="{00000000-0005-0000-0000-00004B070000}"/>
    <cellStyle name="Input 2 6 17 3" xfId="1969" xr:uid="{00000000-0005-0000-0000-00004C070000}"/>
    <cellStyle name="Input 2 6 17 4" xfId="1970" xr:uid="{00000000-0005-0000-0000-00004D070000}"/>
    <cellStyle name="Input 2 6 17 5" xfId="1971" xr:uid="{00000000-0005-0000-0000-00004E070000}"/>
    <cellStyle name="Input 2 6 18" xfId="1972" xr:uid="{00000000-0005-0000-0000-00004F070000}"/>
    <cellStyle name="Input 2 6 18 2" xfId="1973" xr:uid="{00000000-0005-0000-0000-000050070000}"/>
    <cellStyle name="Input 2 6 18 3" xfId="1974" xr:uid="{00000000-0005-0000-0000-000051070000}"/>
    <cellStyle name="Input 2 6 18 4" xfId="1975" xr:uid="{00000000-0005-0000-0000-000052070000}"/>
    <cellStyle name="Input 2 6 18 5" xfId="1976" xr:uid="{00000000-0005-0000-0000-000053070000}"/>
    <cellStyle name="Input 2 6 19" xfId="1977" xr:uid="{00000000-0005-0000-0000-000054070000}"/>
    <cellStyle name="Input 2 6 19 2" xfId="1978" xr:uid="{00000000-0005-0000-0000-000055070000}"/>
    <cellStyle name="Input 2 6 19 3" xfId="1979" xr:uid="{00000000-0005-0000-0000-000056070000}"/>
    <cellStyle name="Input 2 6 19 4" xfId="1980" xr:uid="{00000000-0005-0000-0000-000057070000}"/>
    <cellStyle name="Input 2 6 19 5" xfId="1981" xr:uid="{00000000-0005-0000-0000-000058070000}"/>
    <cellStyle name="Input 2 6 2" xfId="1982" xr:uid="{00000000-0005-0000-0000-000059070000}"/>
    <cellStyle name="Input 2 6 2 2" xfId="1983" xr:uid="{00000000-0005-0000-0000-00005A070000}"/>
    <cellStyle name="Input 2 6 2 3" xfId="1984" xr:uid="{00000000-0005-0000-0000-00005B070000}"/>
    <cellStyle name="Input 2 6 2 4" xfId="1985" xr:uid="{00000000-0005-0000-0000-00005C070000}"/>
    <cellStyle name="Input 2 6 2 5" xfId="1986" xr:uid="{00000000-0005-0000-0000-00005D070000}"/>
    <cellStyle name="Input 2 6 20" xfId="1987" xr:uid="{00000000-0005-0000-0000-00005E070000}"/>
    <cellStyle name="Input 2 6 20 2" xfId="1988" xr:uid="{00000000-0005-0000-0000-00005F070000}"/>
    <cellStyle name="Input 2 6 20 3" xfId="1989" xr:uid="{00000000-0005-0000-0000-000060070000}"/>
    <cellStyle name="Input 2 6 20 4" xfId="1990" xr:uid="{00000000-0005-0000-0000-000061070000}"/>
    <cellStyle name="Input 2 6 20 5" xfId="1991" xr:uid="{00000000-0005-0000-0000-000062070000}"/>
    <cellStyle name="Input 2 6 21" xfId="1992" xr:uid="{00000000-0005-0000-0000-000063070000}"/>
    <cellStyle name="Input 2 6 21 2" xfId="1993" xr:uid="{00000000-0005-0000-0000-000064070000}"/>
    <cellStyle name="Input 2 6 21 3" xfId="1994" xr:uid="{00000000-0005-0000-0000-000065070000}"/>
    <cellStyle name="Input 2 6 21 4" xfId="1995" xr:uid="{00000000-0005-0000-0000-000066070000}"/>
    <cellStyle name="Input 2 6 21 5" xfId="1996" xr:uid="{00000000-0005-0000-0000-000067070000}"/>
    <cellStyle name="Input 2 6 22" xfId="1997" xr:uid="{00000000-0005-0000-0000-000068070000}"/>
    <cellStyle name="Input 2 6 22 2" xfId="1998" xr:uid="{00000000-0005-0000-0000-000069070000}"/>
    <cellStyle name="Input 2 6 22 3" xfId="1999" xr:uid="{00000000-0005-0000-0000-00006A070000}"/>
    <cellStyle name="Input 2 6 22 4" xfId="2000" xr:uid="{00000000-0005-0000-0000-00006B070000}"/>
    <cellStyle name="Input 2 6 23" xfId="2001" xr:uid="{00000000-0005-0000-0000-00006C070000}"/>
    <cellStyle name="Input 2 6 23 2" xfId="2002" xr:uid="{00000000-0005-0000-0000-00006D070000}"/>
    <cellStyle name="Input 2 6 23 3" xfId="2003" xr:uid="{00000000-0005-0000-0000-00006E070000}"/>
    <cellStyle name="Input 2 6 23 4" xfId="2004" xr:uid="{00000000-0005-0000-0000-00006F070000}"/>
    <cellStyle name="Input 2 6 24" xfId="2005" xr:uid="{00000000-0005-0000-0000-000070070000}"/>
    <cellStyle name="Input 2 6 24 2" xfId="2006" xr:uid="{00000000-0005-0000-0000-000071070000}"/>
    <cellStyle name="Input 2 6 24 3" xfId="2007" xr:uid="{00000000-0005-0000-0000-000072070000}"/>
    <cellStyle name="Input 2 6 24 4" xfId="2008" xr:uid="{00000000-0005-0000-0000-000073070000}"/>
    <cellStyle name="Input 2 6 25" xfId="2009" xr:uid="{00000000-0005-0000-0000-000074070000}"/>
    <cellStyle name="Input 2 6 25 2" xfId="2010" xr:uid="{00000000-0005-0000-0000-000075070000}"/>
    <cellStyle name="Input 2 6 25 3" xfId="2011" xr:uid="{00000000-0005-0000-0000-000076070000}"/>
    <cellStyle name="Input 2 6 25 4" xfId="2012" xr:uid="{00000000-0005-0000-0000-000077070000}"/>
    <cellStyle name="Input 2 6 3" xfId="2013" xr:uid="{00000000-0005-0000-0000-000078070000}"/>
    <cellStyle name="Input 2 6 3 2" xfId="2014" xr:uid="{00000000-0005-0000-0000-000079070000}"/>
    <cellStyle name="Input 2 6 3 3" xfId="2015" xr:uid="{00000000-0005-0000-0000-00007A070000}"/>
    <cellStyle name="Input 2 6 3 4" xfId="2016" xr:uid="{00000000-0005-0000-0000-00007B070000}"/>
    <cellStyle name="Input 2 6 3 5" xfId="2017" xr:uid="{00000000-0005-0000-0000-00007C070000}"/>
    <cellStyle name="Input 2 6 4" xfId="2018" xr:uid="{00000000-0005-0000-0000-00007D070000}"/>
    <cellStyle name="Input 2 6 4 2" xfId="2019" xr:uid="{00000000-0005-0000-0000-00007E070000}"/>
    <cellStyle name="Input 2 6 4 3" xfId="2020" xr:uid="{00000000-0005-0000-0000-00007F070000}"/>
    <cellStyle name="Input 2 6 4 4" xfId="2021" xr:uid="{00000000-0005-0000-0000-000080070000}"/>
    <cellStyle name="Input 2 6 4 5" xfId="2022" xr:uid="{00000000-0005-0000-0000-000081070000}"/>
    <cellStyle name="Input 2 6 5" xfId="2023" xr:uid="{00000000-0005-0000-0000-000082070000}"/>
    <cellStyle name="Input 2 6 5 2" xfId="2024" xr:uid="{00000000-0005-0000-0000-000083070000}"/>
    <cellStyle name="Input 2 6 5 3" xfId="2025" xr:uid="{00000000-0005-0000-0000-000084070000}"/>
    <cellStyle name="Input 2 6 5 4" xfId="2026" xr:uid="{00000000-0005-0000-0000-000085070000}"/>
    <cellStyle name="Input 2 6 5 5" xfId="2027" xr:uid="{00000000-0005-0000-0000-000086070000}"/>
    <cellStyle name="Input 2 6 6" xfId="2028" xr:uid="{00000000-0005-0000-0000-000087070000}"/>
    <cellStyle name="Input 2 6 6 2" xfId="2029" xr:uid="{00000000-0005-0000-0000-000088070000}"/>
    <cellStyle name="Input 2 6 6 3" xfId="2030" xr:uid="{00000000-0005-0000-0000-000089070000}"/>
    <cellStyle name="Input 2 6 6 4" xfId="2031" xr:uid="{00000000-0005-0000-0000-00008A070000}"/>
    <cellStyle name="Input 2 6 6 5" xfId="2032" xr:uid="{00000000-0005-0000-0000-00008B070000}"/>
    <cellStyle name="Input 2 6 7" xfId="2033" xr:uid="{00000000-0005-0000-0000-00008C070000}"/>
    <cellStyle name="Input 2 6 7 2" xfId="2034" xr:uid="{00000000-0005-0000-0000-00008D070000}"/>
    <cellStyle name="Input 2 6 7 3" xfId="2035" xr:uid="{00000000-0005-0000-0000-00008E070000}"/>
    <cellStyle name="Input 2 6 7 4" xfId="2036" xr:uid="{00000000-0005-0000-0000-00008F070000}"/>
    <cellStyle name="Input 2 6 7 5" xfId="2037" xr:uid="{00000000-0005-0000-0000-000090070000}"/>
    <cellStyle name="Input 2 6 8" xfId="2038" xr:uid="{00000000-0005-0000-0000-000091070000}"/>
    <cellStyle name="Input 2 6 8 2" xfId="2039" xr:uid="{00000000-0005-0000-0000-000092070000}"/>
    <cellStyle name="Input 2 6 8 3" xfId="2040" xr:uid="{00000000-0005-0000-0000-000093070000}"/>
    <cellStyle name="Input 2 6 8 4" xfId="2041" xr:uid="{00000000-0005-0000-0000-000094070000}"/>
    <cellStyle name="Input 2 6 8 5" xfId="2042" xr:uid="{00000000-0005-0000-0000-000095070000}"/>
    <cellStyle name="Input 2 6 9" xfId="2043" xr:uid="{00000000-0005-0000-0000-000096070000}"/>
    <cellStyle name="Input 2 6 9 2" xfId="2044" xr:uid="{00000000-0005-0000-0000-000097070000}"/>
    <cellStyle name="Input 2 6 9 3" xfId="2045" xr:uid="{00000000-0005-0000-0000-000098070000}"/>
    <cellStyle name="Input 2 6 9 4" xfId="2046" xr:uid="{00000000-0005-0000-0000-000099070000}"/>
    <cellStyle name="Input 2 6 9 5" xfId="2047" xr:uid="{00000000-0005-0000-0000-00009A070000}"/>
    <cellStyle name="Input 2 7" xfId="2048" xr:uid="{00000000-0005-0000-0000-00009B070000}"/>
    <cellStyle name="Input 2 7 2" xfId="2049" xr:uid="{00000000-0005-0000-0000-00009C070000}"/>
    <cellStyle name="Input 2 7 3" xfId="2050" xr:uid="{00000000-0005-0000-0000-00009D070000}"/>
    <cellStyle name="Input 2 7 4" xfId="2051" xr:uid="{00000000-0005-0000-0000-00009E070000}"/>
    <cellStyle name="Input 2 7 5" xfId="2052" xr:uid="{00000000-0005-0000-0000-00009F070000}"/>
    <cellStyle name="Input 2 8" xfId="2053" xr:uid="{00000000-0005-0000-0000-0000A0070000}"/>
    <cellStyle name="Input 2 8 2" xfId="2054" xr:uid="{00000000-0005-0000-0000-0000A1070000}"/>
    <cellStyle name="Input 2 8 3" xfId="2055" xr:uid="{00000000-0005-0000-0000-0000A2070000}"/>
    <cellStyle name="Input 2 8 4" xfId="2056" xr:uid="{00000000-0005-0000-0000-0000A3070000}"/>
    <cellStyle name="Input 2 8 5" xfId="2057" xr:uid="{00000000-0005-0000-0000-0000A4070000}"/>
    <cellStyle name="Input 2 9" xfId="2058" xr:uid="{00000000-0005-0000-0000-0000A5070000}"/>
    <cellStyle name="Input 2 9 2" xfId="2059" xr:uid="{00000000-0005-0000-0000-0000A6070000}"/>
    <cellStyle name="Input 2 9 3" xfId="2060" xr:uid="{00000000-0005-0000-0000-0000A7070000}"/>
    <cellStyle name="Input 2 9 4" xfId="2061" xr:uid="{00000000-0005-0000-0000-0000A8070000}"/>
    <cellStyle name="Input 2 9 5" xfId="2062" xr:uid="{00000000-0005-0000-0000-0000A9070000}"/>
    <cellStyle name="LEAName" xfId="83" xr:uid="{00000000-0005-0000-0000-0000AA070000}"/>
    <cellStyle name="LEAName 2" xfId="2063" xr:uid="{00000000-0005-0000-0000-0000AB070000}"/>
    <cellStyle name="LEANumber" xfId="84" xr:uid="{00000000-0005-0000-0000-0000AC070000}"/>
    <cellStyle name="LEANumber 2" xfId="2064" xr:uid="{00000000-0005-0000-0000-0000AD070000}"/>
    <cellStyle name="Linked Cell 2" xfId="85" xr:uid="{00000000-0005-0000-0000-0000AE070000}"/>
    <cellStyle name="Linked Cell 2 2" xfId="2065" xr:uid="{00000000-0005-0000-0000-0000AF070000}"/>
    <cellStyle name="log projection" xfId="86" xr:uid="{00000000-0005-0000-0000-0000B0070000}"/>
    <cellStyle name="Neutral 2" xfId="87" xr:uid="{00000000-0005-0000-0000-0000B1070000}"/>
    <cellStyle name="Neutral 2 2" xfId="2066" xr:uid="{00000000-0005-0000-0000-0000B2070000}"/>
    <cellStyle name="Neutral 3" xfId="3969" xr:uid="{99151CE0-5588-41B3-9A88-B31386AAA186}"/>
    <cellStyle name="Normal" xfId="0" builtinId="0"/>
    <cellStyle name="Normal - Style1" xfId="88" xr:uid="{00000000-0005-0000-0000-0000B4070000}"/>
    <cellStyle name="Normal - Style2" xfId="89" xr:uid="{00000000-0005-0000-0000-0000B5070000}"/>
    <cellStyle name="Normal - Style3" xfId="90" xr:uid="{00000000-0005-0000-0000-0000B6070000}"/>
    <cellStyle name="Normal - Style4" xfId="91" xr:uid="{00000000-0005-0000-0000-0000B7070000}"/>
    <cellStyle name="Normal - Style5" xfId="92" xr:uid="{00000000-0005-0000-0000-0000B8070000}"/>
    <cellStyle name="Normal 10" xfId="93" xr:uid="{00000000-0005-0000-0000-0000B9070000}"/>
    <cellStyle name="Normal 10 2" xfId="94" xr:uid="{00000000-0005-0000-0000-0000BA070000}"/>
    <cellStyle name="Normal 10 2 2" xfId="2067" xr:uid="{00000000-0005-0000-0000-0000BB070000}"/>
    <cellStyle name="Normal 10 2 2 2" xfId="2068" xr:uid="{00000000-0005-0000-0000-0000BC070000}"/>
    <cellStyle name="Normal 10 3" xfId="2069" xr:uid="{00000000-0005-0000-0000-0000BD070000}"/>
    <cellStyle name="Normal 10 3 2" xfId="2070" xr:uid="{00000000-0005-0000-0000-0000BE070000}"/>
    <cellStyle name="Normal 10 4" xfId="2071" xr:uid="{00000000-0005-0000-0000-0000BF070000}"/>
    <cellStyle name="Normal 10 4 2" xfId="2072" xr:uid="{00000000-0005-0000-0000-0000C0070000}"/>
    <cellStyle name="Normal 10 4 2 2" xfId="2073" xr:uid="{00000000-0005-0000-0000-0000C1070000}"/>
    <cellStyle name="Normal 10 4 3" xfId="2074" xr:uid="{00000000-0005-0000-0000-0000C2070000}"/>
    <cellStyle name="Normal 10 5" xfId="2075" xr:uid="{00000000-0005-0000-0000-0000C3070000}"/>
    <cellStyle name="Normal 10 6" xfId="2076" xr:uid="{00000000-0005-0000-0000-0000C4070000}"/>
    <cellStyle name="Normal 11" xfId="95" xr:uid="{00000000-0005-0000-0000-0000C5070000}"/>
    <cellStyle name="Normal 11 2" xfId="2077" xr:uid="{00000000-0005-0000-0000-0000C6070000}"/>
    <cellStyle name="Normal 11 2 10" xfId="201" xr:uid="{00000000-0005-0000-0000-0000C7070000}"/>
    <cellStyle name="Normal 11 2 2" xfId="3919" xr:uid="{00000000-0005-0000-0000-0000C8070000}"/>
    <cellStyle name="Normal 11 3" xfId="208" xr:uid="{00000000-0005-0000-0000-0000C9070000}"/>
    <cellStyle name="Normal 11 4" xfId="2078" xr:uid="{00000000-0005-0000-0000-0000CA070000}"/>
    <cellStyle name="Normal 12" xfId="96" xr:uid="{00000000-0005-0000-0000-0000CB070000}"/>
    <cellStyle name="Normal 12 2" xfId="97" xr:uid="{00000000-0005-0000-0000-0000CC070000}"/>
    <cellStyle name="Normal 12 2 2" xfId="2079" xr:uid="{00000000-0005-0000-0000-0000CD070000}"/>
    <cellStyle name="Normal 12 3" xfId="2080" xr:uid="{00000000-0005-0000-0000-0000CE070000}"/>
    <cellStyle name="Normal 12 3 2" xfId="2081" xr:uid="{00000000-0005-0000-0000-0000CF070000}"/>
    <cellStyle name="Normal 12 4" xfId="2082" xr:uid="{00000000-0005-0000-0000-0000D0070000}"/>
    <cellStyle name="Normal 12 5" xfId="2083" xr:uid="{00000000-0005-0000-0000-0000D1070000}"/>
    <cellStyle name="Normal 13" xfId="98" xr:uid="{00000000-0005-0000-0000-0000D2070000}"/>
    <cellStyle name="Normal 13 2" xfId="2084" xr:uid="{00000000-0005-0000-0000-0000D3070000}"/>
    <cellStyle name="Normal 13 3" xfId="2085" xr:uid="{00000000-0005-0000-0000-0000D4070000}"/>
    <cellStyle name="Normal 13 4" xfId="2086" xr:uid="{00000000-0005-0000-0000-0000D5070000}"/>
    <cellStyle name="Normal 14" xfId="99" xr:uid="{00000000-0005-0000-0000-0000D6070000}"/>
    <cellStyle name="Normal 14 2" xfId="100" xr:uid="{00000000-0005-0000-0000-0000D7070000}"/>
    <cellStyle name="Normal 14 2 2" xfId="2087" xr:uid="{00000000-0005-0000-0000-0000D8070000}"/>
    <cellStyle name="Normal 14 3" xfId="202" xr:uid="{00000000-0005-0000-0000-0000D9070000}"/>
    <cellStyle name="Normal 14 4" xfId="2088" xr:uid="{00000000-0005-0000-0000-0000DA070000}"/>
    <cellStyle name="Normal 15" xfId="101" xr:uid="{00000000-0005-0000-0000-0000DB070000}"/>
    <cellStyle name="Normal 15 2" xfId="2089" xr:uid="{00000000-0005-0000-0000-0000DC070000}"/>
    <cellStyle name="Normal 16" xfId="102" xr:uid="{00000000-0005-0000-0000-0000DD070000}"/>
    <cellStyle name="Normal 16 2" xfId="2090" xr:uid="{00000000-0005-0000-0000-0000DE070000}"/>
    <cellStyle name="Normal 16 3" xfId="2091" xr:uid="{00000000-0005-0000-0000-0000DF070000}"/>
    <cellStyle name="Normal 17" xfId="103" xr:uid="{00000000-0005-0000-0000-0000E0070000}"/>
    <cellStyle name="Normal 17 2" xfId="2092" xr:uid="{00000000-0005-0000-0000-0000E1070000}"/>
    <cellStyle name="Normal 17 3" xfId="2093" xr:uid="{00000000-0005-0000-0000-0000E2070000}"/>
    <cellStyle name="Normal 18" xfId="104" xr:uid="{00000000-0005-0000-0000-0000E3070000}"/>
    <cellStyle name="Normal 18 2" xfId="2094" xr:uid="{00000000-0005-0000-0000-0000E4070000}"/>
    <cellStyle name="Normal 18 3" xfId="2095" xr:uid="{00000000-0005-0000-0000-0000E5070000}"/>
    <cellStyle name="Normal 19" xfId="184" xr:uid="{00000000-0005-0000-0000-0000E6070000}"/>
    <cellStyle name="Normal 19 2" xfId="2096" xr:uid="{00000000-0005-0000-0000-0000E7070000}"/>
    <cellStyle name="Normal 19 3" xfId="2097" xr:uid="{00000000-0005-0000-0000-0000E8070000}"/>
    <cellStyle name="Normal 19 4" xfId="2098" xr:uid="{00000000-0005-0000-0000-0000E9070000}"/>
    <cellStyle name="Normal 2" xfId="105" xr:uid="{00000000-0005-0000-0000-0000EA070000}"/>
    <cellStyle name="Normal 2 10" xfId="2099" xr:uid="{00000000-0005-0000-0000-0000EB070000}"/>
    <cellStyle name="Normal 2 11" xfId="2100" xr:uid="{00000000-0005-0000-0000-0000EC070000}"/>
    <cellStyle name="Normal 2 12" xfId="2101" xr:uid="{00000000-0005-0000-0000-0000ED070000}"/>
    <cellStyle name="Normal 2 13" xfId="2102" xr:uid="{00000000-0005-0000-0000-0000EE070000}"/>
    <cellStyle name="Normal 2 14" xfId="2103" xr:uid="{00000000-0005-0000-0000-0000EF070000}"/>
    <cellStyle name="Normal 2 14 2" xfId="2104" xr:uid="{00000000-0005-0000-0000-0000F0070000}"/>
    <cellStyle name="Normal 2 15" xfId="2105" xr:uid="{00000000-0005-0000-0000-0000F1070000}"/>
    <cellStyle name="Normal 2 16" xfId="2106" xr:uid="{00000000-0005-0000-0000-0000F2070000}"/>
    <cellStyle name="Normal 2 17" xfId="2107" xr:uid="{00000000-0005-0000-0000-0000F3070000}"/>
    <cellStyle name="Normal 2 18" xfId="2108" xr:uid="{00000000-0005-0000-0000-0000F4070000}"/>
    <cellStyle name="Normal 2 19" xfId="2109" xr:uid="{00000000-0005-0000-0000-0000F5070000}"/>
    <cellStyle name="Normal 2 2" xfId="106" xr:uid="{00000000-0005-0000-0000-0000F6070000}"/>
    <cellStyle name="Normal 2 2 10" xfId="2110" xr:uid="{00000000-0005-0000-0000-0000F7070000}"/>
    <cellStyle name="Normal 2 2 10 2" xfId="2111" xr:uid="{00000000-0005-0000-0000-0000F8070000}"/>
    <cellStyle name="Normal 2 2 11" xfId="2112" xr:uid="{00000000-0005-0000-0000-0000F9070000}"/>
    <cellStyle name="Normal 2 2 11 2" xfId="2113" xr:uid="{00000000-0005-0000-0000-0000FA070000}"/>
    <cellStyle name="Normal 2 2 12" xfId="2114" xr:uid="{00000000-0005-0000-0000-0000FB070000}"/>
    <cellStyle name="Normal 2 2 13" xfId="2115" xr:uid="{00000000-0005-0000-0000-0000FC070000}"/>
    <cellStyle name="Normal 2 2 2" xfId="107" xr:uid="{00000000-0005-0000-0000-0000FD070000}"/>
    <cellStyle name="Normal 2 2 2 2" xfId="2116" xr:uid="{00000000-0005-0000-0000-0000FE070000}"/>
    <cellStyle name="Normal 2 2 2 2 2" xfId="2117" xr:uid="{00000000-0005-0000-0000-0000FF070000}"/>
    <cellStyle name="Normal 2 2 2 2 3" xfId="2118" xr:uid="{00000000-0005-0000-0000-000000080000}"/>
    <cellStyle name="Normal 2 2 2 2 4" xfId="3944" xr:uid="{00000000-0005-0000-0000-000001080000}"/>
    <cellStyle name="Normal 2 2 2 3" xfId="2119" xr:uid="{00000000-0005-0000-0000-000002080000}"/>
    <cellStyle name="Normal 2 2 2 3 2" xfId="2120" xr:uid="{00000000-0005-0000-0000-000003080000}"/>
    <cellStyle name="Normal 2 2 2 3 3" xfId="3929" xr:uid="{00000000-0005-0000-0000-000004080000}"/>
    <cellStyle name="Normal 2 2 2 4" xfId="2121" xr:uid="{00000000-0005-0000-0000-000005080000}"/>
    <cellStyle name="Normal 2 2 2 4 2" xfId="2122" xr:uid="{00000000-0005-0000-0000-000006080000}"/>
    <cellStyle name="Normal 2 2 2 5" xfId="2123" xr:uid="{00000000-0005-0000-0000-000007080000}"/>
    <cellStyle name="Normal 2 2 2 5 2" xfId="2124" xr:uid="{00000000-0005-0000-0000-000008080000}"/>
    <cellStyle name="Normal 2 2 2 6" xfId="2125" xr:uid="{00000000-0005-0000-0000-000009080000}"/>
    <cellStyle name="Normal 2 2 2 6 2" xfId="2126" xr:uid="{00000000-0005-0000-0000-00000A080000}"/>
    <cellStyle name="Normal 2 2 2 7" xfId="2127" xr:uid="{00000000-0005-0000-0000-00000B080000}"/>
    <cellStyle name="Normal 2 2 2 7 2" xfId="2128" xr:uid="{00000000-0005-0000-0000-00000C080000}"/>
    <cellStyle name="Normal 2 2 2 8" xfId="2129" xr:uid="{00000000-0005-0000-0000-00000D080000}"/>
    <cellStyle name="Normal 2 2 2 9" xfId="2130" xr:uid="{00000000-0005-0000-0000-00000E080000}"/>
    <cellStyle name="Normal 2 2 3" xfId="108" xr:uid="{00000000-0005-0000-0000-00000F080000}"/>
    <cellStyle name="Normal 2 2 3 2" xfId="2131" xr:uid="{00000000-0005-0000-0000-000010080000}"/>
    <cellStyle name="Normal 2 2 3 2 2" xfId="3945" xr:uid="{00000000-0005-0000-0000-000011080000}"/>
    <cellStyle name="Normal 2 2 3 3" xfId="2132" xr:uid="{00000000-0005-0000-0000-000012080000}"/>
    <cellStyle name="Normal 2 2 3 3 2" xfId="3930" xr:uid="{00000000-0005-0000-0000-000013080000}"/>
    <cellStyle name="Normal 2 2 4" xfId="2133" xr:uid="{00000000-0005-0000-0000-000014080000}"/>
    <cellStyle name="Normal 2 2 4 2" xfId="2134" xr:uid="{00000000-0005-0000-0000-000015080000}"/>
    <cellStyle name="Normal 2 2 4 3" xfId="3917" xr:uid="{00000000-0005-0000-0000-000016080000}"/>
    <cellStyle name="Normal 2 2 5" xfId="2135" xr:uid="{00000000-0005-0000-0000-000017080000}"/>
    <cellStyle name="Normal 2 2 5 2" xfId="2136" xr:uid="{00000000-0005-0000-0000-000018080000}"/>
    <cellStyle name="Normal 2 2 5 3" xfId="3943" xr:uid="{00000000-0005-0000-0000-000019080000}"/>
    <cellStyle name="Normal 2 2 6" xfId="2137" xr:uid="{00000000-0005-0000-0000-00001A080000}"/>
    <cellStyle name="Normal 2 2 6 2" xfId="2138" xr:uid="{00000000-0005-0000-0000-00001B080000}"/>
    <cellStyle name="Normal 2 2 6 3" xfId="3928" xr:uid="{00000000-0005-0000-0000-00001C080000}"/>
    <cellStyle name="Normal 2 2 7" xfId="2139" xr:uid="{00000000-0005-0000-0000-00001D080000}"/>
    <cellStyle name="Normal 2 2 7 2" xfId="2140" xr:uid="{00000000-0005-0000-0000-00001E080000}"/>
    <cellStyle name="Normal 2 2 8" xfId="2141" xr:uid="{00000000-0005-0000-0000-00001F080000}"/>
    <cellStyle name="Normal 2 2 8 2" xfId="2142" xr:uid="{00000000-0005-0000-0000-000020080000}"/>
    <cellStyle name="Normal 2 2 9" xfId="2143" xr:uid="{00000000-0005-0000-0000-000021080000}"/>
    <cellStyle name="Normal 2 2 9 2" xfId="2144" xr:uid="{00000000-0005-0000-0000-000022080000}"/>
    <cellStyle name="Normal 2 3" xfId="109" xr:uid="{00000000-0005-0000-0000-000023080000}"/>
    <cellStyle name="Normal 2 3 2" xfId="2145" xr:uid="{00000000-0005-0000-0000-000024080000}"/>
    <cellStyle name="Normal 2 3 2 2" xfId="3946" xr:uid="{00000000-0005-0000-0000-000025080000}"/>
    <cellStyle name="Normal 2 3 3" xfId="2146" xr:uid="{00000000-0005-0000-0000-000026080000}"/>
    <cellStyle name="Normal 2 3 3 2" xfId="3931" xr:uid="{00000000-0005-0000-0000-000027080000}"/>
    <cellStyle name="Normal 2 4" xfId="110" xr:uid="{00000000-0005-0000-0000-000028080000}"/>
    <cellStyle name="Normal 2 4 2" xfId="2147" xr:uid="{00000000-0005-0000-0000-000029080000}"/>
    <cellStyle name="Normal 2 5" xfId="111" xr:uid="{00000000-0005-0000-0000-00002A080000}"/>
    <cellStyle name="Normal 2 5 2" xfId="2148" xr:uid="{00000000-0005-0000-0000-00002B080000}"/>
    <cellStyle name="Normal 2 5 3" xfId="2149" xr:uid="{00000000-0005-0000-0000-00002C080000}"/>
    <cellStyle name="Normal 2 6" xfId="2150" xr:uid="{00000000-0005-0000-0000-00002D080000}"/>
    <cellStyle name="Normal 2 6 2" xfId="2151" xr:uid="{00000000-0005-0000-0000-00002E080000}"/>
    <cellStyle name="Normal 2 6 3" xfId="3942" xr:uid="{00000000-0005-0000-0000-00002F080000}"/>
    <cellStyle name="Normal 2 7" xfId="2152" xr:uid="{00000000-0005-0000-0000-000030080000}"/>
    <cellStyle name="Normal 2 7 2" xfId="2153" xr:uid="{00000000-0005-0000-0000-000031080000}"/>
    <cellStyle name="Normal 2 7 3" xfId="3920" xr:uid="{00000000-0005-0000-0000-000032080000}"/>
    <cellStyle name="Normal 2 8" xfId="2154" xr:uid="{00000000-0005-0000-0000-000033080000}"/>
    <cellStyle name="Normal 2 8 2" xfId="2155" xr:uid="{00000000-0005-0000-0000-000034080000}"/>
    <cellStyle name="Normal 2 9" xfId="112" xr:uid="{00000000-0005-0000-0000-000035080000}"/>
    <cellStyle name="Normal 2 9 2" xfId="2156" xr:uid="{00000000-0005-0000-0000-000036080000}"/>
    <cellStyle name="Normal 2_Acads List" xfId="113" xr:uid="{00000000-0005-0000-0000-000037080000}"/>
    <cellStyle name="Normal 20" xfId="203" xr:uid="{00000000-0005-0000-0000-000038080000}"/>
    <cellStyle name="Normal 20 2" xfId="2157" xr:uid="{00000000-0005-0000-0000-000039080000}"/>
    <cellStyle name="Normal 20 3" xfId="2158" xr:uid="{00000000-0005-0000-0000-00003A080000}"/>
    <cellStyle name="Normal 21" xfId="2159" xr:uid="{00000000-0005-0000-0000-00003B080000}"/>
    <cellStyle name="Normal 21 2" xfId="2160" xr:uid="{00000000-0005-0000-0000-00003C080000}"/>
    <cellStyle name="Normal 22" xfId="2161" xr:uid="{00000000-0005-0000-0000-00003D080000}"/>
    <cellStyle name="Normal 22 2" xfId="2162" xr:uid="{00000000-0005-0000-0000-00003E080000}"/>
    <cellStyle name="Normal 23" xfId="2163" xr:uid="{00000000-0005-0000-0000-00003F080000}"/>
    <cellStyle name="Normal 24" xfId="2164" xr:uid="{00000000-0005-0000-0000-000040080000}"/>
    <cellStyle name="Normal 25" xfId="2165" xr:uid="{00000000-0005-0000-0000-000041080000}"/>
    <cellStyle name="Normal 26" xfId="2166" xr:uid="{00000000-0005-0000-0000-000042080000}"/>
    <cellStyle name="Normal 27" xfId="2167" xr:uid="{00000000-0005-0000-0000-000043080000}"/>
    <cellStyle name="Normal 28" xfId="2168" xr:uid="{00000000-0005-0000-0000-000044080000}"/>
    <cellStyle name="Normal 29" xfId="2169" xr:uid="{00000000-0005-0000-0000-000045080000}"/>
    <cellStyle name="Normal 3" xfId="114" xr:uid="{00000000-0005-0000-0000-000046080000}"/>
    <cellStyle name="Normal 3 10" xfId="2170" xr:uid="{00000000-0005-0000-0000-000047080000}"/>
    <cellStyle name="Normal 3 11" xfId="2171" xr:uid="{00000000-0005-0000-0000-000048080000}"/>
    <cellStyle name="Normal 3 12" xfId="2172" xr:uid="{00000000-0005-0000-0000-000049080000}"/>
    <cellStyle name="Normal 3 13" xfId="2173" xr:uid="{00000000-0005-0000-0000-00004A080000}"/>
    <cellStyle name="Normal 3 13 2" xfId="2174" xr:uid="{00000000-0005-0000-0000-00004B080000}"/>
    <cellStyle name="Normal 3 14" xfId="2175" xr:uid="{00000000-0005-0000-0000-00004C080000}"/>
    <cellStyle name="Normal 3 2" xfId="115" xr:uid="{00000000-0005-0000-0000-00004D080000}"/>
    <cellStyle name="Normal 3 2 2" xfId="116" xr:uid="{00000000-0005-0000-0000-00004E080000}"/>
    <cellStyle name="Normal 3 2 2 2" xfId="2176" xr:uid="{00000000-0005-0000-0000-00004F080000}"/>
    <cellStyle name="Normal 3 2 3" xfId="2177" xr:uid="{00000000-0005-0000-0000-000050080000}"/>
    <cellStyle name="Normal 3 2 4" xfId="2178" xr:uid="{00000000-0005-0000-0000-000051080000}"/>
    <cellStyle name="Normal 3 2 5" xfId="2179" xr:uid="{00000000-0005-0000-0000-000052080000}"/>
    <cellStyle name="Normal 3 2 6" xfId="2180" xr:uid="{00000000-0005-0000-0000-000053080000}"/>
    <cellStyle name="Normal 3 2 7" xfId="2181" xr:uid="{00000000-0005-0000-0000-000054080000}"/>
    <cellStyle name="Normal 3 2 8" xfId="2182" xr:uid="{00000000-0005-0000-0000-000055080000}"/>
    <cellStyle name="Normal 3 2_Main Allocation Sheet" xfId="2183" xr:uid="{00000000-0005-0000-0000-000056080000}"/>
    <cellStyle name="Normal 3 3" xfId="117" xr:uid="{00000000-0005-0000-0000-000057080000}"/>
    <cellStyle name="Normal 3 3 2" xfId="2184" xr:uid="{00000000-0005-0000-0000-000058080000}"/>
    <cellStyle name="Normal 3 3 3" xfId="2185" xr:uid="{00000000-0005-0000-0000-000059080000}"/>
    <cellStyle name="Normal 3 4" xfId="118" xr:uid="{00000000-0005-0000-0000-00005A080000}"/>
    <cellStyle name="Normal 3 4 2" xfId="2186" xr:uid="{00000000-0005-0000-0000-00005B080000}"/>
    <cellStyle name="Normal 3 4 3" xfId="2187" xr:uid="{00000000-0005-0000-0000-00005C080000}"/>
    <cellStyle name="Normal 3 4 3 2 2" xfId="3972" xr:uid="{C6C539FD-2601-4A5A-BF5F-2D761F15B6D4}"/>
    <cellStyle name="Normal 3 5" xfId="2188" xr:uid="{00000000-0005-0000-0000-00005D080000}"/>
    <cellStyle name="Normal 3 5 2" xfId="2189" xr:uid="{00000000-0005-0000-0000-00005E080000}"/>
    <cellStyle name="Normal 3 5 3" xfId="3947" xr:uid="{00000000-0005-0000-0000-00005F080000}"/>
    <cellStyle name="Normal 3 6" xfId="2190" xr:uid="{00000000-0005-0000-0000-000060080000}"/>
    <cellStyle name="Normal 3 6 2" xfId="2191" xr:uid="{00000000-0005-0000-0000-000061080000}"/>
    <cellStyle name="Normal 3 7" xfId="2192" xr:uid="{00000000-0005-0000-0000-000062080000}"/>
    <cellStyle name="Normal 3 8" xfId="2193" xr:uid="{00000000-0005-0000-0000-000063080000}"/>
    <cellStyle name="Normal 3 9" xfId="2194" xr:uid="{00000000-0005-0000-0000-000064080000}"/>
    <cellStyle name="Normal 3_Colleges and Providers" xfId="2195" xr:uid="{00000000-0005-0000-0000-000065080000}"/>
    <cellStyle name="Normal 30" xfId="2196" xr:uid="{00000000-0005-0000-0000-000066080000}"/>
    <cellStyle name="Normal 31" xfId="2197" xr:uid="{00000000-0005-0000-0000-000067080000}"/>
    <cellStyle name="Normal 32" xfId="3954" xr:uid="{00000000-0005-0000-0000-000068080000}"/>
    <cellStyle name="Normal 33" xfId="2198" xr:uid="{00000000-0005-0000-0000-000069080000}"/>
    <cellStyle name="Normal 34" xfId="3971" xr:uid="{29569DA8-044C-4BD8-A441-7DEF3B1DEF36}"/>
    <cellStyle name="Normal 35" xfId="3958" xr:uid="{00000000-0005-0000-0000-00006A080000}"/>
    <cellStyle name="Normal 36" xfId="3973" xr:uid="{26E38277-1009-4A66-847D-5B85D9A1940F}"/>
    <cellStyle name="Normal 4" xfId="119" xr:uid="{00000000-0005-0000-0000-00006B080000}"/>
    <cellStyle name="Normal 4 10" xfId="2199" xr:uid="{00000000-0005-0000-0000-00006C080000}"/>
    <cellStyle name="Normal 4 10 2" xfId="2200" xr:uid="{00000000-0005-0000-0000-00006D080000}"/>
    <cellStyle name="Normal 4 11" xfId="2201" xr:uid="{00000000-0005-0000-0000-00006E080000}"/>
    <cellStyle name="Normal 4 2" xfId="120" xr:uid="{00000000-0005-0000-0000-00006F080000}"/>
    <cellStyle name="Normal 4 2 2" xfId="2202" xr:uid="{00000000-0005-0000-0000-000070080000}"/>
    <cellStyle name="Normal 4 2 2 2" xfId="2203" xr:uid="{00000000-0005-0000-0000-000071080000}"/>
    <cellStyle name="Normal 4 2 2 2 2" xfId="2204" xr:uid="{00000000-0005-0000-0000-000072080000}"/>
    <cellStyle name="Normal 4 2 2 2 2 2" xfId="2205" xr:uid="{00000000-0005-0000-0000-000073080000}"/>
    <cellStyle name="Normal 4 2 2 2 3" xfId="2206" xr:uid="{00000000-0005-0000-0000-000074080000}"/>
    <cellStyle name="Normal 4 2 2 3" xfId="2207" xr:uid="{00000000-0005-0000-0000-000075080000}"/>
    <cellStyle name="Normal 4 2 2 3 2" xfId="2208" xr:uid="{00000000-0005-0000-0000-000076080000}"/>
    <cellStyle name="Normal 4 2 2 4" xfId="2209" xr:uid="{00000000-0005-0000-0000-000077080000}"/>
    <cellStyle name="Normal 4 2 2 5" xfId="3949" xr:uid="{00000000-0005-0000-0000-000078080000}"/>
    <cellStyle name="Normal 4 2 3" xfId="2210" xr:uid="{00000000-0005-0000-0000-000079080000}"/>
    <cellStyle name="Normal 4 2 3 2" xfId="2211" xr:uid="{00000000-0005-0000-0000-00007A080000}"/>
    <cellStyle name="Normal 4 2 3 2 2" xfId="2212" xr:uid="{00000000-0005-0000-0000-00007B080000}"/>
    <cellStyle name="Normal 4 2 3 3" xfId="2213" xr:uid="{00000000-0005-0000-0000-00007C080000}"/>
    <cellStyle name="Normal 4 2 3 4" xfId="3938" xr:uid="{00000000-0005-0000-0000-00007D080000}"/>
    <cellStyle name="Normal 4 2 4" xfId="2214" xr:uid="{00000000-0005-0000-0000-00007E080000}"/>
    <cellStyle name="Normal 4 2 4 2" xfId="2215" xr:uid="{00000000-0005-0000-0000-00007F080000}"/>
    <cellStyle name="Normal 4 2 5" xfId="2216" xr:uid="{00000000-0005-0000-0000-000080080000}"/>
    <cellStyle name="Normal 4 2 6" xfId="2217" xr:uid="{00000000-0005-0000-0000-000081080000}"/>
    <cellStyle name="Normal 4 3" xfId="121" xr:uid="{00000000-0005-0000-0000-000082080000}"/>
    <cellStyle name="Normal 4 3 2" xfId="2218" xr:uid="{00000000-0005-0000-0000-000083080000}"/>
    <cellStyle name="Normal 4 3 2 2" xfId="2219" xr:uid="{00000000-0005-0000-0000-000084080000}"/>
    <cellStyle name="Normal 4 3 2 2 2" xfId="2220" xr:uid="{00000000-0005-0000-0000-000085080000}"/>
    <cellStyle name="Normal 4 3 2 2 2 2" xfId="2221" xr:uid="{00000000-0005-0000-0000-000086080000}"/>
    <cellStyle name="Normal 4 3 2 2 3" xfId="2222" xr:uid="{00000000-0005-0000-0000-000087080000}"/>
    <cellStyle name="Normal 4 3 2 3" xfId="2223" xr:uid="{00000000-0005-0000-0000-000088080000}"/>
    <cellStyle name="Normal 4 3 2 3 2" xfId="2224" xr:uid="{00000000-0005-0000-0000-000089080000}"/>
    <cellStyle name="Normal 4 3 2 4" xfId="2225" xr:uid="{00000000-0005-0000-0000-00008A080000}"/>
    <cellStyle name="Normal 4 3 2 5" xfId="3950" xr:uid="{00000000-0005-0000-0000-00008B080000}"/>
    <cellStyle name="Normal 4 3 3" xfId="2226" xr:uid="{00000000-0005-0000-0000-00008C080000}"/>
    <cellStyle name="Normal 4 3 3 2" xfId="2227" xr:uid="{00000000-0005-0000-0000-00008D080000}"/>
    <cellStyle name="Normal 4 3 3 2 2" xfId="2228" xr:uid="{00000000-0005-0000-0000-00008E080000}"/>
    <cellStyle name="Normal 4 3 3 3" xfId="2229" xr:uid="{00000000-0005-0000-0000-00008F080000}"/>
    <cellStyle name="Normal 4 3 3 4" xfId="3932" xr:uid="{00000000-0005-0000-0000-000090080000}"/>
    <cellStyle name="Normal 4 3 4" xfId="2230" xr:uid="{00000000-0005-0000-0000-000091080000}"/>
    <cellStyle name="Normal 4 3 4 2" xfId="2231" xr:uid="{00000000-0005-0000-0000-000092080000}"/>
    <cellStyle name="Normal 4 3 5" xfId="2232" xr:uid="{00000000-0005-0000-0000-000093080000}"/>
    <cellStyle name="Normal 4 3 6" xfId="2233" xr:uid="{00000000-0005-0000-0000-000094080000}"/>
    <cellStyle name="Normal 4 4" xfId="2234" xr:uid="{00000000-0005-0000-0000-000095080000}"/>
    <cellStyle name="Normal 4 4 2" xfId="2235" xr:uid="{00000000-0005-0000-0000-000096080000}"/>
    <cellStyle name="Normal 4 4 2 2" xfId="2236" xr:uid="{00000000-0005-0000-0000-000097080000}"/>
    <cellStyle name="Normal 4 4 2 2 2" xfId="2237" xr:uid="{00000000-0005-0000-0000-000098080000}"/>
    <cellStyle name="Normal 4 4 2 2 2 2" xfId="2238" xr:uid="{00000000-0005-0000-0000-000099080000}"/>
    <cellStyle name="Normal 4 4 2 2 3" xfId="2239" xr:uid="{00000000-0005-0000-0000-00009A080000}"/>
    <cellStyle name="Normal 4 4 2 3" xfId="2240" xr:uid="{00000000-0005-0000-0000-00009B080000}"/>
    <cellStyle name="Normal 4 4 2 3 2" xfId="2241" xr:uid="{00000000-0005-0000-0000-00009C080000}"/>
    <cellStyle name="Normal 4 4 2 4" xfId="2242" xr:uid="{00000000-0005-0000-0000-00009D080000}"/>
    <cellStyle name="Normal 4 4 3" xfId="2243" xr:uid="{00000000-0005-0000-0000-00009E080000}"/>
    <cellStyle name="Normal 4 4 3 2" xfId="2244" xr:uid="{00000000-0005-0000-0000-00009F080000}"/>
    <cellStyle name="Normal 4 4 3 2 2" xfId="2245" xr:uid="{00000000-0005-0000-0000-0000A0080000}"/>
    <cellStyle name="Normal 4 4 3 3" xfId="2246" xr:uid="{00000000-0005-0000-0000-0000A1080000}"/>
    <cellStyle name="Normal 4 4 4" xfId="2247" xr:uid="{00000000-0005-0000-0000-0000A2080000}"/>
    <cellStyle name="Normal 4 4 4 2" xfId="2248" xr:uid="{00000000-0005-0000-0000-0000A3080000}"/>
    <cellStyle name="Normal 4 4 5" xfId="2249" xr:uid="{00000000-0005-0000-0000-0000A4080000}"/>
    <cellStyle name="Normal 4 5" xfId="2250" xr:uid="{00000000-0005-0000-0000-0000A5080000}"/>
    <cellStyle name="Normal 4 5 2" xfId="2251" xr:uid="{00000000-0005-0000-0000-0000A6080000}"/>
    <cellStyle name="Normal 4 5 2 2" xfId="2252" xr:uid="{00000000-0005-0000-0000-0000A7080000}"/>
    <cellStyle name="Normal 4 5 2 2 2" xfId="2253" xr:uid="{00000000-0005-0000-0000-0000A8080000}"/>
    <cellStyle name="Normal 4 5 2 3" xfId="2254" xr:uid="{00000000-0005-0000-0000-0000A9080000}"/>
    <cellStyle name="Normal 4 5 3" xfId="2255" xr:uid="{00000000-0005-0000-0000-0000AA080000}"/>
    <cellStyle name="Normal 4 5 3 2" xfId="2256" xr:uid="{00000000-0005-0000-0000-0000AB080000}"/>
    <cellStyle name="Normal 4 5 4" xfId="2257" xr:uid="{00000000-0005-0000-0000-0000AC080000}"/>
    <cellStyle name="Normal 4 5 5" xfId="3948" xr:uid="{00000000-0005-0000-0000-0000AD080000}"/>
    <cellStyle name="Normal 4 6" xfId="2258" xr:uid="{00000000-0005-0000-0000-0000AE080000}"/>
    <cellStyle name="Normal 4 6 2" xfId="2259" xr:uid="{00000000-0005-0000-0000-0000AF080000}"/>
    <cellStyle name="Normal 4 6 2 2" xfId="2260" xr:uid="{00000000-0005-0000-0000-0000B0080000}"/>
    <cellStyle name="Normal 4 6 2 2 2" xfId="2261" xr:uid="{00000000-0005-0000-0000-0000B1080000}"/>
    <cellStyle name="Normal 4 6 2 3" xfId="2262" xr:uid="{00000000-0005-0000-0000-0000B2080000}"/>
    <cellStyle name="Normal 4 6 3" xfId="2263" xr:uid="{00000000-0005-0000-0000-0000B3080000}"/>
    <cellStyle name="Normal 4 6 3 2" xfId="2264" xr:uid="{00000000-0005-0000-0000-0000B4080000}"/>
    <cellStyle name="Normal 4 6 4" xfId="2265" xr:uid="{00000000-0005-0000-0000-0000B5080000}"/>
    <cellStyle name="Normal 4 6 5" xfId="3923" xr:uid="{00000000-0005-0000-0000-0000B6080000}"/>
    <cellStyle name="Normal 4 7" xfId="2266" xr:uid="{00000000-0005-0000-0000-0000B7080000}"/>
    <cellStyle name="Normal 4 7 2" xfId="2267" xr:uid="{00000000-0005-0000-0000-0000B8080000}"/>
    <cellStyle name="Normal 4 7 2 2" xfId="2268" xr:uid="{00000000-0005-0000-0000-0000B9080000}"/>
    <cellStyle name="Normal 4 7 3" xfId="2269" xr:uid="{00000000-0005-0000-0000-0000BA080000}"/>
    <cellStyle name="Normal 4 8" xfId="2270" xr:uid="{00000000-0005-0000-0000-0000BB080000}"/>
    <cellStyle name="Normal 4 8 2" xfId="2271" xr:uid="{00000000-0005-0000-0000-0000BC080000}"/>
    <cellStyle name="Normal 4 9" xfId="2272" xr:uid="{00000000-0005-0000-0000-0000BD080000}"/>
    <cellStyle name="Normal 4 9 2" xfId="2273" xr:uid="{00000000-0005-0000-0000-0000BE080000}"/>
    <cellStyle name="Normal 4_Regional Readiness Sheet" xfId="2274" xr:uid="{00000000-0005-0000-0000-0000BF080000}"/>
    <cellStyle name="Normal 48" xfId="2275" xr:uid="{00000000-0005-0000-0000-0000C0080000}"/>
    <cellStyle name="Normal 5" xfId="122" xr:uid="{00000000-0005-0000-0000-0000C1080000}"/>
    <cellStyle name="Normal 5 2" xfId="123" xr:uid="{00000000-0005-0000-0000-0000C2080000}"/>
    <cellStyle name="Normal 5 2 2" xfId="124" xr:uid="{00000000-0005-0000-0000-0000C3080000}"/>
    <cellStyle name="Normal 5 2 3" xfId="2276" xr:uid="{00000000-0005-0000-0000-0000C4080000}"/>
    <cellStyle name="Normal 5 3" xfId="125" xr:uid="{00000000-0005-0000-0000-0000C5080000}"/>
    <cellStyle name="Normal 5 3 2" xfId="126" xr:uid="{00000000-0005-0000-0000-0000C6080000}"/>
    <cellStyle name="Normal 5 3 3" xfId="2277" xr:uid="{00000000-0005-0000-0000-0000C7080000}"/>
    <cellStyle name="Normal 5 4" xfId="127" xr:uid="{00000000-0005-0000-0000-0000C8080000}"/>
    <cellStyle name="Normal 5 5" xfId="128" xr:uid="{00000000-0005-0000-0000-0000C9080000}"/>
    <cellStyle name="Normal 5 6" xfId="2278" xr:uid="{00000000-0005-0000-0000-0000CA080000}"/>
    <cellStyle name="Normal 5 6 2" xfId="3951" xr:uid="{00000000-0005-0000-0000-0000CB080000}"/>
    <cellStyle name="Normal 5 7" xfId="3924" xr:uid="{00000000-0005-0000-0000-0000CC080000}"/>
    <cellStyle name="Normal 58 2" xfId="3959" xr:uid="{00000000-0005-0000-0000-0000CD080000}"/>
    <cellStyle name="Normal 58 2 2" xfId="3962" xr:uid="{00000000-0005-0000-0000-0000CE080000}"/>
    <cellStyle name="Normal 58 2 2 21" xfId="3964" xr:uid="{AAD84B4D-1FBB-4848-AE2E-96F69F3B2F12}"/>
    <cellStyle name="Normal 6" xfId="129" xr:uid="{00000000-0005-0000-0000-0000CF080000}"/>
    <cellStyle name="Normal 6 2" xfId="130" xr:uid="{00000000-0005-0000-0000-0000D0080000}"/>
    <cellStyle name="Normal 6 2 2" xfId="2279" xr:uid="{00000000-0005-0000-0000-0000D1080000}"/>
    <cellStyle name="Normal 6 2 3" xfId="2280" xr:uid="{00000000-0005-0000-0000-0000D2080000}"/>
    <cellStyle name="Normal 6 2 4" xfId="2281" xr:uid="{00000000-0005-0000-0000-0000D3080000}"/>
    <cellStyle name="Normal 6 3" xfId="131" xr:uid="{00000000-0005-0000-0000-0000D4080000}"/>
    <cellStyle name="Normal 6 3 2" xfId="132" xr:uid="{00000000-0005-0000-0000-0000D5080000}"/>
    <cellStyle name="Normal 6 3 2 2" xfId="2282" xr:uid="{00000000-0005-0000-0000-0000D6080000}"/>
    <cellStyle name="Normal 6 3 3" xfId="2283" xr:uid="{00000000-0005-0000-0000-0000D7080000}"/>
    <cellStyle name="Normal 6 3 4" xfId="3933" xr:uid="{00000000-0005-0000-0000-0000D8080000}"/>
    <cellStyle name="Normal 6 4" xfId="133" xr:uid="{00000000-0005-0000-0000-0000D9080000}"/>
    <cellStyle name="Normal 6 4 2" xfId="2284" xr:uid="{00000000-0005-0000-0000-0000DA080000}"/>
    <cellStyle name="Normal 6 5" xfId="2285" xr:uid="{00000000-0005-0000-0000-0000DB080000}"/>
    <cellStyle name="Normal 6 5 2" xfId="3952" xr:uid="{00000000-0005-0000-0000-0000DC080000}"/>
    <cellStyle name="Normal 6 6" xfId="3955" xr:uid="{00000000-0005-0000-0000-0000DD080000}"/>
    <cellStyle name="Normal 60" xfId="3960" xr:uid="{00000000-0005-0000-0000-0000DE080000}"/>
    <cellStyle name="Normal 60 21" xfId="3963" xr:uid="{EDCAFD6D-5E1D-42F3-8F77-D52E65179751}"/>
    <cellStyle name="Normal 7" xfId="134" xr:uid="{00000000-0005-0000-0000-0000DF080000}"/>
    <cellStyle name="Normal 7 2" xfId="135" xr:uid="{00000000-0005-0000-0000-0000E0080000}"/>
    <cellStyle name="Normal 7 2 2" xfId="2286" xr:uid="{00000000-0005-0000-0000-0000E1080000}"/>
    <cellStyle name="Normal 7 2 3" xfId="2287" xr:uid="{00000000-0005-0000-0000-0000E2080000}"/>
    <cellStyle name="Normal 7 3" xfId="2288" xr:uid="{00000000-0005-0000-0000-0000E3080000}"/>
    <cellStyle name="Normal 7 3 2" xfId="3953" xr:uid="{00000000-0005-0000-0000-0000E4080000}"/>
    <cellStyle name="Normal 7 4" xfId="2289" xr:uid="{00000000-0005-0000-0000-0000E5080000}"/>
    <cellStyle name="Normal 7 4 2" xfId="2290" xr:uid="{00000000-0005-0000-0000-0000E6080000}"/>
    <cellStyle name="Normal 7 4 3" xfId="3934" xr:uid="{00000000-0005-0000-0000-0000E7080000}"/>
    <cellStyle name="Normal 7 5" xfId="2291" xr:uid="{00000000-0005-0000-0000-0000E8080000}"/>
    <cellStyle name="Normal 7 6" xfId="3956" xr:uid="{00000000-0005-0000-0000-0000E9080000}"/>
    <cellStyle name="Normal 8" xfId="136" xr:uid="{00000000-0005-0000-0000-0000EA080000}"/>
    <cellStyle name="Normal 8 2" xfId="137" xr:uid="{00000000-0005-0000-0000-0000EB080000}"/>
    <cellStyle name="Normal 8 2 2" xfId="2292" xr:uid="{00000000-0005-0000-0000-0000EC080000}"/>
    <cellStyle name="Normal 8 3" xfId="204" xr:uid="{00000000-0005-0000-0000-0000ED080000}"/>
    <cellStyle name="Normal 8 4" xfId="3935" xr:uid="{00000000-0005-0000-0000-0000EE080000}"/>
    <cellStyle name="Normal 9" xfId="138" xr:uid="{00000000-0005-0000-0000-0000EF080000}"/>
    <cellStyle name="Normal 9 2" xfId="139" xr:uid="{00000000-0005-0000-0000-0000F0080000}"/>
    <cellStyle name="Normal 9 2 2" xfId="2293" xr:uid="{00000000-0005-0000-0000-0000F1080000}"/>
    <cellStyle name="Normal 9 2 2 2" xfId="2294" xr:uid="{00000000-0005-0000-0000-0000F2080000}"/>
    <cellStyle name="Normal 9 2 3" xfId="2295" xr:uid="{00000000-0005-0000-0000-0000F3080000}"/>
    <cellStyle name="Normal 9 3" xfId="2296" xr:uid="{00000000-0005-0000-0000-0000F4080000}"/>
    <cellStyle name="Normal 9 3 2" xfId="2297" xr:uid="{00000000-0005-0000-0000-0000F5080000}"/>
    <cellStyle name="Normal 9 4" xfId="2298" xr:uid="{00000000-0005-0000-0000-0000F6080000}"/>
    <cellStyle name="Normal 9 4 2" xfId="2299" xr:uid="{00000000-0005-0000-0000-0000F7080000}"/>
    <cellStyle name="Normal 9 4 2 2" xfId="2300" xr:uid="{00000000-0005-0000-0000-0000F8080000}"/>
    <cellStyle name="Normal 9 4 3" xfId="2301" xr:uid="{00000000-0005-0000-0000-0000F9080000}"/>
    <cellStyle name="Normal 9 5" xfId="2302" xr:uid="{00000000-0005-0000-0000-0000FA080000}"/>
    <cellStyle name="NormalStyleCurrency" xfId="2303" xr:uid="{00000000-0005-0000-0000-0000FC080000}"/>
    <cellStyle name="NormalStyleText" xfId="2304" xr:uid="{00000000-0005-0000-0000-0000FD080000}"/>
    <cellStyle name="Note 2" xfId="140" xr:uid="{00000000-0005-0000-0000-0000FE080000}"/>
    <cellStyle name="Note 2 2" xfId="141" xr:uid="{00000000-0005-0000-0000-0000FF080000}"/>
    <cellStyle name="Note 2 2 10" xfId="2305" xr:uid="{00000000-0005-0000-0000-000000090000}"/>
    <cellStyle name="Note 2 2 10 2" xfId="2306" xr:uid="{00000000-0005-0000-0000-000001090000}"/>
    <cellStyle name="Note 2 2 10 3" xfId="2307" xr:uid="{00000000-0005-0000-0000-000002090000}"/>
    <cellStyle name="Note 2 2 10 4" xfId="2308" xr:uid="{00000000-0005-0000-0000-000003090000}"/>
    <cellStyle name="Note 2 2 10 5" xfId="2309" xr:uid="{00000000-0005-0000-0000-000004090000}"/>
    <cellStyle name="Note 2 2 11" xfId="2310" xr:uid="{00000000-0005-0000-0000-000005090000}"/>
    <cellStyle name="Note 2 2 11 2" xfId="2311" xr:uid="{00000000-0005-0000-0000-000006090000}"/>
    <cellStyle name="Note 2 2 11 3" xfId="2312" xr:uid="{00000000-0005-0000-0000-000007090000}"/>
    <cellStyle name="Note 2 2 11 4" xfId="2313" xr:uid="{00000000-0005-0000-0000-000008090000}"/>
    <cellStyle name="Note 2 2 11 5" xfId="2314" xr:uid="{00000000-0005-0000-0000-000009090000}"/>
    <cellStyle name="Note 2 2 12" xfId="2315" xr:uid="{00000000-0005-0000-0000-00000A090000}"/>
    <cellStyle name="Note 2 2 12 2" xfId="2316" xr:uid="{00000000-0005-0000-0000-00000B090000}"/>
    <cellStyle name="Note 2 2 12 3" xfId="2317" xr:uid="{00000000-0005-0000-0000-00000C090000}"/>
    <cellStyle name="Note 2 2 12 4" xfId="2318" xr:uid="{00000000-0005-0000-0000-00000D090000}"/>
    <cellStyle name="Note 2 2 12 5" xfId="2319" xr:uid="{00000000-0005-0000-0000-00000E090000}"/>
    <cellStyle name="Note 2 2 13" xfId="2320" xr:uid="{00000000-0005-0000-0000-00000F090000}"/>
    <cellStyle name="Note 2 2 13 2" xfId="2321" xr:uid="{00000000-0005-0000-0000-000010090000}"/>
    <cellStyle name="Note 2 2 13 3" xfId="2322" xr:uid="{00000000-0005-0000-0000-000011090000}"/>
    <cellStyle name="Note 2 2 13 4" xfId="2323" xr:uid="{00000000-0005-0000-0000-000012090000}"/>
    <cellStyle name="Note 2 2 14" xfId="2324" xr:uid="{00000000-0005-0000-0000-000013090000}"/>
    <cellStyle name="Note 2 2 14 2" xfId="2325" xr:uid="{00000000-0005-0000-0000-000014090000}"/>
    <cellStyle name="Note 2 2 14 3" xfId="2326" xr:uid="{00000000-0005-0000-0000-000015090000}"/>
    <cellStyle name="Note 2 2 14 4" xfId="2327" xr:uid="{00000000-0005-0000-0000-000016090000}"/>
    <cellStyle name="Note 2 2 15" xfId="2328" xr:uid="{00000000-0005-0000-0000-000017090000}"/>
    <cellStyle name="Note 2 2 15 2" xfId="2329" xr:uid="{00000000-0005-0000-0000-000018090000}"/>
    <cellStyle name="Note 2 2 15 3" xfId="2330" xr:uid="{00000000-0005-0000-0000-000019090000}"/>
    <cellStyle name="Note 2 2 15 4" xfId="2331" xr:uid="{00000000-0005-0000-0000-00001A090000}"/>
    <cellStyle name="Note 2 2 2" xfId="142" xr:uid="{00000000-0005-0000-0000-00001B090000}"/>
    <cellStyle name="Note 2 2 2 10" xfId="2332" xr:uid="{00000000-0005-0000-0000-00001C090000}"/>
    <cellStyle name="Note 2 2 2 10 2" xfId="2333" xr:uid="{00000000-0005-0000-0000-00001D090000}"/>
    <cellStyle name="Note 2 2 2 10 3" xfId="2334" xr:uid="{00000000-0005-0000-0000-00001E090000}"/>
    <cellStyle name="Note 2 2 2 10 4" xfId="2335" xr:uid="{00000000-0005-0000-0000-00001F090000}"/>
    <cellStyle name="Note 2 2 2 10 5" xfId="2336" xr:uid="{00000000-0005-0000-0000-000020090000}"/>
    <cellStyle name="Note 2 2 2 11" xfId="2337" xr:uid="{00000000-0005-0000-0000-000021090000}"/>
    <cellStyle name="Note 2 2 2 11 2" xfId="2338" xr:uid="{00000000-0005-0000-0000-000022090000}"/>
    <cellStyle name="Note 2 2 2 11 3" xfId="2339" xr:uid="{00000000-0005-0000-0000-000023090000}"/>
    <cellStyle name="Note 2 2 2 11 4" xfId="2340" xr:uid="{00000000-0005-0000-0000-000024090000}"/>
    <cellStyle name="Note 2 2 2 11 5" xfId="2341" xr:uid="{00000000-0005-0000-0000-000025090000}"/>
    <cellStyle name="Note 2 2 2 12" xfId="2342" xr:uid="{00000000-0005-0000-0000-000026090000}"/>
    <cellStyle name="Note 2 2 2 12 2" xfId="2343" xr:uid="{00000000-0005-0000-0000-000027090000}"/>
    <cellStyle name="Note 2 2 2 12 3" xfId="2344" xr:uid="{00000000-0005-0000-0000-000028090000}"/>
    <cellStyle name="Note 2 2 2 12 4" xfId="2345" xr:uid="{00000000-0005-0000-0000-000029090000}"/>
    <cellStyle name="Note 2 2 2 12 5" xfId="2346" xr:uid="{00000000-0005-0000-0000-00002A090000}"/>
    <cellStyle name="Note 2 2 2 13" xfId="2347" xr:uid="{00000000-0005-0000-0000-00002B090000}"/>
    <cellStyle name="Note 2 2 2 13 2" xfId="2348" xr:uid="{00000000-0005-0000-0000-00002C090000}"/>
    <cellStyle name="Note 2 2 2 13 3" xfId="2349" xr:uid="{00000000-0005-0000-0000-00002D090000}"/>
    <cellStyle name="Note 2 2 2 13 4" xfId="2350" xr:uid="{00000000-0005-0000-0000-00002E090000}"/>
    <cellStyle name="Note 2 2 2 13 5" xfId="2351" xr:uid="{00000000-0005-0000-0000-00002F090000}"/>
    <cellStyle name="Note 2 2 2 14" xfId="2352" xr:uid="{00000000-0005-0000-0000-000030090000}"/>
    <cellStyle name="Note 2 2 2 14 2" xfId="2353" xr:uid="{00000000-0005-0000-0000-000031090000}"/>
    <cellStyle name="Note 2 2 2 14 3" xfId="2354" xr:uid="{00000000-0005-0000-0000-000032090000}"/>
    <cellStyle name="Note 2 2 2 14 4" xfId="2355" xr:uid="{00000000-0005-0000-0000-000033090000}"/>
    <cellStyle name="Note 2 2 2 14 5" xfId="2356" xr:uid="{00000000-0005-0000-0000-000034090000}"/>
    <cellStyle name="Note 2 2 2 15" xfId="2357" xr:uid="{00000000-0005-0000-0000-000035090000}"/>
    <cellStyle name="Note 2 2 2 15 2" xfId="2358" xr:uid="{00000000-0005-0000-0000-000036090000}"/>
    <cellStyle name="Note 2 2 2 15 3" xfId="2359" xr:uid="{00000000-0005-0000-0000-000037090000}"/>
    <cellStyle name="Note 2 2 2 15 4" xfId="2360" xr:uid="{00000000-0005-0000-0000-000038090000}"/>
    <cellStyle name="Note 2 2 2 15 5" xfId="2361" xr:uid="{00000000-0005-0000-0000-000039090000}"/>
    <cellStyle name="Note 2 2 2 16" xfId="2362" xr:uid="{00000000-0005-0000-0000-00003A090000}"/>
    <cellStyle name="Note 2 2 2 16 2" xfId="2363" xr:uid="{00000000-0005-0000-0000-00003B090000}"/>
    <cellStyle name="Note 2 2 2 16 3" xfId="2364" xr:uid="{00000000-0005-0000-0000-00003C090000}"/>
    <cellStyle name="Note 2 2 2 16 4" xfId="2365" xr:uid="{00000000-0005-0000-0000-00003D090000}"/>
    <cellStyle name="Note 2 2 2 16 5" xfId="2366" xr:uid="{00000000-0005-0000-0000-00003E090000}"/>
    <cellStyle name="Note 2 2 2 17" xfId="2367" xr:uid="{00000000-0005-0000-0000-00003F090000}"/>
    <cellStyle name="Note 2 2 2 17 2" xfId="2368" xr:uid="{00000000-0005-0000-0000-000040090000}"/>
    <cellStyle name="Note 2 2 2 17 3" xfId="2369" xr:uid="{00000000-0005-0000-0000-000041090000}"/>
    <cellStyle name="Note 2 2 2 17 4" xfId="2370" xr:uid="{00000000-0005-0000-0000-000042090000}"/>
    <cellStyle name="Note 2 2 2 17 5" xfId="2371" xr:uid="{00000000-0005-0000-0000-000043090000}"/>
    <cellStyle name="Note 2 2 2 18" xfId="2372" xr:uid="{00000000-0005-0000-0000-000044090000}"/>
    <cellStyle name="Note 2 2 2 18 2" xfId="2373" xr:uid="{00000000-0005-0000-0000-000045090000}"/>
    <cellStyle name="Note 2 2 2 18 3" xfId="2374" xr:uid="{00000000-0005-0000-0000-000046090000}"/>
    <cellStyle name="Note 2 2 2 18 4" xfId="2375" xr:uid="{00000000-0005-0000-0000-000047090000}"/>
    <cellStyle name="Note 2 2 2 18 5" xfId="2376" xr:uid="{00000000-0005-0000-0000-000048090000}"/>
    <cellStyle name="Note 2 2 2 19" xfId="2377" xr:uid="{00000000-0005-0000-0000-000049090000}"/>
    <cellStyle name="Note 2 2 2 19 2" xfId="2378" xr:uid="{00000000-0005-0000-0000-00004A090000}"/>
    <cellStyle name="Note 2 2 2 19 3" xfId="2379" xr:uid="{00000000-0005-0000-0000-00004B090000}"/>
    <cellStyle name="Note 2 2 2 19 4" xfId="2380" xr:uid="{00000000-0005-0000-0000-00004C090000}"/>
    <cellStyle name="Note 2 2 2 2" xfId="2381" xr:uid="{00000000-0005-0000-0000-00004D090000}"/>
    <cellStyle name="Note 2 2 2 2 2" xfId="2382" xr:uid="{00000000-0005-0000-0000-00004E090000}"/>
    <cellStyle name="Note 2 2 2 2 3" xfId="2383" xr:uid="{00000000-0005-0000-0000-00004F090000}"/>
    <cellStyle name="Note 2 2 2 2 4" xfId="2384" xr:uid="{00000000-0005-0000-0000-000050090000}"/>
    <cellStyle name="Note 2 2 2 2 5" xfId="2385" xr:uid="{00000000-0005-0000-0000-000051090000}"/>
    <cellStyle name="Note 2 2 2 20" xfId="2386" xr:uid="{00000000-0005-0000-0000-000052090000}"/>
    <cellStyle name="Note 2 2 2 20 2" xfId="2387" xr:uid="{00000000-0005-0000-0000-000053090000}"/>
    <cellStyle name="Note 2 2 2 20 3" xfId="2388" xr:uid="{00000000-0005-0000-0000-000054090000}"/>
    <cellStyle name="Note 2 2 2 20 4" xfId="2389" xr:uid="{00000000-0005-0000-0000-000055090000}"/>
    <cellStyle name="Note 2 2 2 21" xfId="2390" xr:uid="{00000000-0005-0000-0000-000056090000}"/>
    <cellStyle name="Note 2 2 2 21 2" xfId="2391" xr:uid="{00000000-0005-0000-0000-000057090000}"/>
    <cellStyle name="Note 2 2 2 21 3" xfId="2392" xr:uid="{00000000-0005-0000-0000-000058090000}"/>
    <cellStyle name="Note 2 2 2 21 4" xfId="2393" xr:uid="{00000000-0005-0000-0000-000059090000}"/>
    <cellStyle name="Note 2 2 2 22" xfId="2394" xr:uid="{00000000-0005-0000-0000-00005A090000}"/>
    <cellStyle name="Note 2 2 2 22 2" xfId="2395" xr:uid="{00000000-0005-0000-0000-00005B090000}"/>
    <cellStyle name="Note 2 2 2 22 3" xfId="2396" xr:uid="{00000000-0005-0000-0000-00005C090000}"/>
    <cellStyle name="Note 2 2 2 22 4" xfId="2397" xr:uid="{00000000-0005-0000-0000-00005D090000}"/>
    <cellStyle name="Note 2 2 2 23" xfId="2398" xr:uid="{00000000-0005-0000-0000-00005E090000}"/>
    <cellStyle name="Note 2 2 2 3" xfId="2399" xr:uid="{00000000-0005-0000-0000-00005F090000}"/>
    <cellStyle name="Note 2 2 2 3 2" xfId="2400" xr:uid="{00000000-0005-0000-0000-000060090000}"/>
    <cellStyle name="Note 2 2 2 3 3" xfId="2401" xr:uid="{00000000-0005-0000-0000-000061090000}"/>
    <cellStyle name="Note 2 2 2 3 4" xfId="2402" xr:uid="{00000000-0005-0000-0000-000062090000}"/>
    <cellStyle name="Note 2 2 2 3 5" xfId="2403" xr:uid="{00000000-0005-0000-0000-000063090000}"/>
    <cellStyle name="Note 2 2 2 4" xfId="2404" xr:uid="{00000000-0005-0000-0000-000064090000}"/>
    <cellStyle name="Note 2 2 2 4 2" xfId="2405" xr:uid="{00000000-0005-0000-0000-000065090000}"/>
    <cellStyle name="Note 2 2 2 4 3" xfId="2406" xr:uid="{00000000-0005-0000-0000-000066090000}"/>
    <cellStyle name="Note 2 2 2 4 4" xfId="2407" xr:uid="{00000000-0005-0000-0000-000067090000}"/>
    <cellStyle name="Note 2 2 2 4 5" xfId="2408" xr:uid="{00000000-0005-0000-0000-000068090000}"/>
    <cellStyle name="Note 2 2 2 5" xfId="2409" xr:uid="{00000000-0005-0000-0000-000069090000}"/>
    <cellStyle name="Note 2 2 2 5 2" xfId="2410" xr:uid="{00000000-0005-0000-0000-00006A090000}"/>
    <cellStyle name="Note 2 2 2 5 3" xfId="2411" xr:uid="{00000000-0005-0000-0000-00006B090000}"/>
    <cellStyle name="Note 2 2 2 5 4" xfId="2412" xr:uid="{00000000-0005-0000-0000-00006C090000}"/>
    <cellStyle name="Note 2 2 2 5 5" xfId="2413" xr:uid="{00000000-0005-0000-0000-00006D090000}"/>
    <cellStyle name="Note 2 2 2 6" xfId="2414" xr:uid="{00000000-0005-0000-0000-00006E090000}"/>
    <cellStyle name="Note 2 2 2 6 2" xfId="2415" xr:uid="{00000000-0005-0000-0000-00006F090000}"/>
    <cellStyle name="Note 2 2 2 6 3" xfId="2416" xr:uid="{00000000-0005-0000-0000-000070090000}"/>
    <cellStyle name="Note 2 2 2 6 4" xfId="2417" xr:uid="{00000000-0005-0000-0000-000071090000}"/>
    <cellStyle name="Note 2 2 2 6 5" xfId="2418" xr:uid="{00000000-0005-0000-0000-000072090000}"/>
    <cellStyle name="Note 2 2 2 7" xfId="2419" xr:uid="{00000000-0005-0000-0000-000073090000}"/>
    <cellStyle name="Note 2 2 2 7 2" xfId="2420" xr:uid="{00000000-0005-0000-0000-000074090000}"/>
    <cellStyle name="Note 2 2 2 7 3" xfId="2421" xr:uid="{00000000-0005-0000-0000-000075090000}"/>
    <cellStyle name="Note 2 2 2 7 4" xfId="2422" xr:uid="{00000000-0005-0000-0000-000076090000}"/>
    <cellStyle name="Note 2 2 2 7 5" xfId="2423" xr:uid="{00000000-0005-0000-0000-000077090000}"/>
    <cellStyle name="Note 2 2 2 8" xfId="2424" xr:uid="{00000000-0005-0000-0000-000078090000}"/>
    <cellStyle name="Note 2 2 2 8 2" xfId="2425" xr:uid="{00000000-0005-0000-0000-000079090000}"/>
    <cellStyle name="Note 2 2 2 8 3" xfId="2426" xr:uid="{00000000-0005-0000-0000-00007A090000}"/>
    <cellStyle name="Note 2 2 2 8 4" xfId="2427" xr:uid="{00000000-0005-0000-0000-00007B090000}"/>
    <cellStyle name="Note 2 2 2 8 5" xfId="2428" xr:uid="{00000000-0005-0000-0000-00007C090000}"/>
    <cellStyle name="Note 2 2 2 9" xfId="2429" xr:uid="{00000000-0005-0000-0000-00007D090000}"/>
    <cellStyle name="Note 2 2 2 9 2" xfId="2430" xr:uid="{00000000-0005-0000-0000-00007E090000}"/>
    <cellStyle name="Note 2 2 2 9 3" xfId="2431" xr:uid="{00000000-0005-0000-0000-00007F090000}"/>
    <cellStyle name="Note 2 2 2 9 4" xfId="2432" xr:uid="{00000000-0005-0000-0000-000080090000}"/>
    <cellStyle name="Note 2 2 2 9 5" xfId="2433" xr:uid="{00000000-0005-0000-0000-000081090000}"/>
    <cellStyle name="Note 2 2 3" xfId="2434" xr:uid="{00000000-0005-0000-0000-000082090000}"/>
    <cellStyle name="Note 2 2 3 10" xfId="2435" xr:uid="{00000000-0005-0000-0000-000083090000}"/>
    <cellStyle name="Note 2 2 3 10 2" xfId="2436" xr:uid="{00000000-0005-0000-0000-000084090000}"/>
    <cellStyle name="Note 2 2 3 10 3" xfId="2437" xr:uid="{00000000-0005-0000-0000-000085090000}"/>
    <cellStyle name="Note 2 2 3 10 4" xfId="2438" xr:uid="{00000000-0005-0000-0000-000086090000}"/>
    <cellStyle name="Note 2 2 3 10 5" xfId="2439" xr:uid="{00000000-0005-0000-0000-000087090000}"/>
    <cellStyle name="Note 2 2 3 11" xfId="2440" xr:uid="{00000000-0005-0000-0000-000088090000}"/>
    <cellStyle name="Note 2 2 3 11 2" xfId="2441" xr:uid="{00000000-0005-0000-0000-000089090000}"/>
    <cellStyle name="Note 2 2 3 11 3" xfId="2442" xr:uid="{00000000-0005-0000-0000-00008A090000}"/>
    <cellStyle name="Note 2 2 3 11 4" xfId="2443" xr:uid="{00000000-0005-0000-0000-00008B090000}"/>
    <cellStyle name="Note 2 2 3 11 5" xfId="2444" xr:uid="{00000000-0005-0000-0000-00008C090000}"/>
    <cellStyle name="Note 2 2 3 12" xfId="2445" xr:uid="{00000000-0005-0000-0000-00008D090000}"/>
    <cellStyle name="Note 2 2 3 12 2" xfId="2446" xr:uid="{00000000-0005-0000-0000-00008E090000}"/>
    <cellStyle name="Note 2 2 3 12 3" xfId="2447" xr:uid="{00000000-0005-0000-0000-00008F090000}"/>
    <cellStyle name="Note 2 2 3 12 4" xfId="2448" xr:uid="{00000000-0005-0000-0000-000090090000}"/>
    <cellStyle name="Note 2 2 3 12 5" xfId="2449" xr:uid="{00000000-0005-0000-0000-000091090000}"/>
    <cellStyle name="Note 2 2 3 13" xfId="2450" xr:uid="{00000000-0005-0000-0000-000092090000}"/>
    <cellStyle name="Note 2 2 3 13 2" xfId="2451" xr:uid="{00000000-0005-0000-0000-000093090000}"/>
    <cellStyle name="Note 2 2 3 13 3" xfId="2452" xr:uid="{00000000-0005-0000-0000-000094090000}"/>
    <cellStyle name="Note 2 2 3 13 4" xfId="2453" xr:uid="{00000000-0005-0000-0000-000095090000}"/>
    <cellStyle name="Note 2 2 3 13 5" xfId="2454" xr:uid="{00000000-0005-0000-0000-000096090000}"/>
    <cellStyle name="Note 2 2 3 14" xfId="2455" xr:uid="{00000000-0005-0000-0000-000097090000}"/>
    <cellStyle name="Note 2 2 3 14 2" xfId="2456" xr:uid="{00000000-0005-0000-0000-000098090000}"/>
    <cellStyle name="Note 2 2 3 14 3" xfId="2457" xr:uid="{00000000-0005-0000-0000-000099090000}"/>
    <cellStyle name="Note 2 2 3 14 4" xfId="2458" xr:uid="{00000000-0005-0000-0000-00009A090000}"/>
    <cellStyle name="Note 2 2 3 14 5" xfId="2459" xr:uid="{00000000-0005-0000-0000-00009B090000}"/>
    <cellStyle name="Note 2 2 3 15" xfId="2460" xr:uid="{00000000-0005-0000-0000-00009C090000}"/>
    <cellStyle name="Note 2 2 3 15 2" xfId="2461" xr:uid="{00000000-0005-0000-0000-00009D090000}"/>
    <cellStyle name="Note 2 2 3 15 3" xfId="2462" xr:uid="{00000000-0005-0000-0000-00009E090000}"/>
    <cellStyle name="Note 2 2 3 15 4" xfId="2463" xr:uid="{00000000-0005-0000-0000-00009F090000}"/>
    <cellStyle name="Note 2 2 3 15 5" xfId="2464" xr:uid="{00000000-0005-0000-0000-0000A0090000}"/>
    <cellStyle name="Note 2 2 3 16" xfId="2465" xr:uid="{00000000-0005-0000-0000-0000A1090000}"/>
    <cellStyle name="Note 2 2 3 16 2" xfId="2466" xr:uid="{00000000-0005-0000-0000-0000A2090000}"/>
    <cellStyle name="Note 2 2 3 16 3" xfId="2467" xr:uid="{00000000-0005-0000-0000-0000A3090000}"/>
    <cellStyle name="Note 2 2 3 16 4" xfId="2468" xr:uid="{00000000-0005-0000-0000-0000A4090000}"/>
    <cellStyle name="Note 2 2 3 16 5" xfId="2469" xr:uid="{00000000-0005-0000-0000-0000A5090000}"/>
    <cellStyle name="Note 2 2 3 17" xfId="2470" xr:uid="{00000000-0005-0000-0000-0000A6090000}"/>
    <cellStyle name="Note 2 2 3 17 2" xfId="2471" xr:uid="{00000000-0005-0000-0000-0000A7090000}"/>
    <cellStyle name="Note 2 2 3 17 3" xfId="2472" xr:uid="{00000000-0005-0000-0000-0000A8090000}"/>
    <cellStyle name="Note 2 2 3 17 4" xfId="2473" xr:uid="{00000000-0005-0000-0000-0000A9090000}"/>
    <cellStyle name="Note 2 2 3 17 5" xfId="2474" xr:uid="{00000000-0005-0000-0000-0000AA090000}"/>
    <cellStyle name="Note 2 2 3 18" xfId="2475" xr:uid="{00000000-0005-0000-0000-0000AB090000}"/>
    <cellStyle name="Note 2 2 3 18 2" xfId="2476" xr:uid="{00000000-0005-0000-0000-0000AC090000}"/>
    <cellStyle name="Note 2 2 3 18 3" xfId="2477" xr:uid="{00000000-0005-0000-0000-0000AD090000}"/>
    <cellStyle name="Note 2 2 3 18 4" xfId="2478" xr:uid="{00000000-0005-0000-0000-0000AE090000}"/>
    <cellStyle name="Note 2 2 3 18 5" xfId="2479" xr:uid="{00000000-0005-0000-0000-0000AF090000}"/>
    <cellStyle name="Note 2 2 3 19" xfId="2480" xr:uid="{00000000-0005-0000-0000-0000B0090000}"/>
    <cellStyle name="Note 2 2 3 19 2" xfId="2481" xr:uid="{00000000-0005-0000-0000-0000B1090000}"/>
    <cellStyle name="Note 2 2 3 19 3" xfId="2482" xr:uid="{00000000-0005-0000-0000-0000B2090000}"/>
    <cellStyle name="Note 2 2 3 19 4" xfId="2483" xr:uid="{00000000-0005-0000-0000-0000B3090000}"/>
    <cellStyle name="Note 2 2 3 2" xfId="2484" xr:uid="{00000000-0005-0000-0000-0000B4090000}"/>
    <cellStyle name="Note 2 2 3 2 2" xfId="2485" xr:uid="{00000000-0005-0000-0000-0000B5090000}"/>
    <cellStyle name="Note 2 2 3 2 3" xfId="2486" xr:uid="{00000000-0005-0000-0000-0000B6090000}"/>
    <cellStyle name="Note 2 2 3 2 4" xfId="2487" xr:uid="{00000000-0005-0000-0000-0000B7090000}"/>
    <cellStyle name="Note 2 2 3 2 5" xfId="2488" xr:uid="{00000000-0005-0000-0000-0000B8090000}"/>
    <cellStyle name="Note 2 2 3 20" xfId="2489" xr:uid="{00000000-0005-0000-0000-0000B9090000}"/>
    <cellStyle name="Note 2 2 3 20 2" xfId="2490" xr:uid="{00000000-0005-0000-0000-0000BA090000}"/>
    <cellStyle name="Note 2 2 3 20 3" xfId="2491" xr:uid="{00000000-0005-0000-0000-0000BB090000}"/>
    <cellStyle name="Note 2 2 3 20 4" xfId="2492" xr:uid="{00000000-0005-0000-0000-0000BC090000}"/>
    <cellStyle name="Note 2 2 3 21" xfId="2493" xr:uid="{00000000-0005-0000-0000-0000BD090000}"/>
    <cellStyle name="Note 2 2 3 21 2" xfId="2494" xr:uid="{00000000-0005-0000-0000-0000BE090000}"/>
    <cellStyle name="Note 2 2 3 21 3" xfId="2495" xr:uid="{00000000-0005-0000-0000-0000BF090000}"/>
    <cellStyle name="Note 2 2 3 21 4" xfId="2496" xr:uid="{00000000-0005-0000-0000-0000C0090000}"/>
    <cellStyle name="Note 2 2 3 22" xfId="2497" xr:uid="{00000000-0005-0000-0000-0000C1090000}"/>
    <cellStyle name="Note 2 2 3 22 2" xfId="2498" xr:uid="{00000000-0005-0000-0000-0000C2090000}"/>
    <cellStyle name="Note 2 2 3 22 3" xfId="2499" xr:uid="{00000000-0005-0000-0000-0000C3090000}"/>
    <cellStyle name="Note 2 2 3 22 4" xfId="2500" xr:uid="{00000000-0005-0000-0000-0000C4090000}"/>
    <cellStyle name="Note 2 2 3 23" xfId="2501" xr:uid="{00000000-0005-0000-0000-0000C5090000}"/>
    <cellStyle name="Note 2 2 3 3" xfId="2502" xr:uid="{00000000-0005-0000-0000-0000C6090000}"/>
    <cellStyle name="Note 2 2 3 3 2" xfId="2503" xr:uid="{00000000-0005-0000-0000-0000C7090000}"/>
    <cellStyle name="Note 2 2 3 3 3" xfId="2504" xr:uid="{00000000-0005-0000-0000-0000C8090000}"/>
    <cellStyle name="Note 2 2 3 3 4" xfId="2505" xr:uid="{00000000-0005-0000-0000-0000C9090000}"/>
    <cellStyle name="Note 2 2 3 3 5" xfId="2506" xr:uid="{00000000-0005-0000-0000-0000CA090000}"/>
    <cellStyle name="Note 2 2 3 4" xfId="2507" xr:uid="{00000000-0005-0000-0000-0000CB090000}"/>
    <cellStyle name="Note 2 2 3 4 2" xfId="2508" xr:uid="{00000000-0005-0000-0000-0000CC090000}"/>
    <cellStyle name="Note 2 2 3 4 3" xfId="2509" xr:uid="{00000000-0005-0000-0000-0000CD090000}"/>
    <cellStyle name="Note 2 2 3 4 4" xfId="2510" xr:uid="{00000000-0005-0000-0000-0000CE090000}"/>
    <cellStyle name="Note 2 2 3 4 5" xfId="2511" xr:uid="{00000000-0005-0000-0000-0000CF090000}"/>
    <cellStyle name="Note 2 2 3 5" xfId="2512" xr:uid="{00000000-0005-0000-0000-0000D0090000}"/>
    <cellStyle name="Note 2 2 3 5 2" xfId="2513" xr:uid="{00000000-0005-0000-0000-0000D1090000}"/>
    <cellStyle name="Note 2 2 3 5 3" xfId="2514" xr:uid="{00000000-0005-0000-0000-0000D2090000}"/>
    <cellStyle name="Note 2 2 3 5 4" xfId="2515" xr:uid="{00000000-0005-0000-0000-0000D3090000}"/>
    <cellStyle name="Note 2 2 3 5 5" xfId="2516" xr:uid="{00000000-0005-0000-0000-0000D4090000}"/>
    <cellStyle name="Note 2 2 3 6" xfId="2517" xr:uid="{00000000-0005-0000-0000-0000D5090000}"/>
    <cellStyle name="Note 2 2 3 6 2" xfId="2518" xr:uid="{00000000-0005-0000-0000-0000D6090000}"/>
    <cellStyle name="Note 2 2 3 6 3" xfId="2519" xr:uid="{00000000-0005-0000-0000-0000D7090000}"/>
    <cellStyle name="Note 2 2 3 6 4" xfId="2520" xr:uid="{00000000-0005-0000-0000-0000D8090000}"/>
    <cellStyle name="Note 2 2 3 6 5" xfId="2521" xr:uid="{00000000-0005-0000-0000-0000D9090000}"/>
    <cellStyle name="Note 2 2 3 7" xfId="2522" xr:uid="{00000000-0005-0000-0000-0000DA090000}"/>
    <cellStyle name="Note 2 2 3 7 2" xfId="2523" xr:uid="{00000000-0005-0000-0000-0000DB090000}"/>
    <cellStyle name="Note 2 2 3 7 3" xfId="2524" xr:uid="{00000000-0005-0000-0000-0000DC090000}"/>
    <cellStyle name="Note 2 2 3 7 4" xfId="2525" xr:uid="{00000000-0005-0000-0000-0000DD090000}"/>
    <cellStyle name="Note 2 2 3 7 5" xfId="2526" xr:uid="{00000000-0005-0000-0000-0000DE090000}"/>
    <cellStyle name="Note 2 2 3 8" xfId="2527" xr:uid="{00000000-0005-0000-0000-0000DF090000}"/>
    <cellStyle name="Note 2 2 3 8 2" xfId="2528" xr:uid="{00000000-0005-0000-0000-0000E0090000}"/>
    <cellStyle name="Note 2 2 3 8 3" xfId="2529" xr:uid="{00000000-0005-0000-0000-0000E1090000}"/>
    <cellStyle name="Note 2 2 3 8 4" xfId="2530" xr:uid="{00000000-0005-0000-0000-0000E2090000}"/>
    <cellStyle name="Note 2 2 3 8 5" xfId="2531" xr:uid="{00000000-0005-0000-0000-0000E3090000}"/>
    <cellStyle name="Note 2 2 3 9" xfId="2532" xr:uid="{00000000-0005-0000-0000-0000E4090000}"/>
    <cellStyle name="Note 2 2 3 9 2" xfId="2533" xr:uid="{00000000-0005-0000-0000-0000E5090000}"/>
    <cellStyle name="Note 2 2 3 9 3" xfId="2534" xr:uid="{00000000-0005-0000-0000-0000E6090000}"/>
    <cellStyle name="Note 2 2 3 9 4" xfId="2535" xr:uid="{00000000-0005-0000-0000-0000E7090000}"/>
    <cellStyle name="Note 2 2 3 9 5" xfId="2536" xr:uid="{00000000-0005-0000-0000-0000E8090000}"/>
    <cellStyle name="Note 2 2 4" xfId="2537" xr:uid="{00000000-0005-0000-0000-0000E9090000}"/>
    <cellStyle name="Note 2 2 4 10" xfId="2538" xr:uid="{00000000-0005-0000-0000-0000EA090000}"/>
    <cellStyle name="Note 2 2 4 10 2" xfId="2539" xr:uid="{00000000-0005-0000-0000-0000EB090000}"/>
    <cellStyle name="Note 2 2 4 10 3" xfId="2540" xr:uid="{00000000-0005-0000-0000-0000EC090000}"/>
    <cellStyle name="Note 2 2 4 10 4" xfId="2541" xr:uid="{00000000-0005-0000-0000-0000ED090000}"/>
    <cellStyle name="Note 2 2 4 10 5" xfId="2542" xr:uid="{00000000-0005-0000-0000-0000EE090000}"/>
    <cellStyle name="Note 2 2 4 11" xfId="2543" xr:uid="{00000000-0005-0000-0000-0000EF090000}"/>
    <cellStyle name="Note 2 2 4 11 2" xfId="2544" xr:uid="{00000000-0005-0000-0000-0000F0090000}"/>
    <cellStyle name="Note 2 2 4 11 3" xfId="2545" xr:uid="{00000000-0005-0000-0000-0000F1090000}"/>
    <cellStyle name="Note 2 2 4 11 4" xfId="2546" xr:uid="{00000000-0005-0000-0000-0000F2090000}"/>
    <cellStyle name="Note 2 2 4 11 5" xfId="2547" xr:uid="{00000000-0005-0000-0000-0000F3090000}"/>
    <cellStyle name="Note 2 2 4 12" xfId="2548" xr:uid="{00000000-0005-0000-0000-0000F4090000}"/>
    <cellStyle name="Note 2 2 4 12 2" xfId="2549" xr:uid="{00000000-0005-0000-0000-0000F5090000}"/>
    <cellStyle name="Note 2 2 4 12 3" xfId="2550" xr:uid="{00000000-0005-0000-0000-0000F6090000}"/>
    <cellStyle name="Note 2 2 4 12 4" xfId="2551" xr:uid="{00000000-0005-0000-0000-0000F7090000}"/>
    <cellStyle name="Note 2 2 4 12 5" xfId="2552" xr:uid="{00000000-0005-0000-0000-0000F8090000}"/>
    <cellStyle name="Note 2 2 4 13" xfId="2553" xr:uid="{00000000-0005-0000-0000-0000F9090000}"/>
    <cellStyle name="Note 2 2 4 13 2" xfId="2554" xr:uid="{00000000-0005-0000-0000-0000FA090000}"/>
    <cellStyle name="Note 2 2 4 13 3" xfId="2555" xr:uid="{00000000-0005-0000-0000-0000FB090000}"/>
    <cellStyle name="Note 2 2 4 13 4" xfId="2556" xr:uid="{00000000-0005-0000-0000-0000FC090000}"/>
    <cellStyle name="Note 2 2 4 13 5" xfId="2557" xr:uid="{00000000-0005-0000-0000-0000FD090000}"/>
    <cellStyle name="Note 2 2 4 14" xfId="2558" xr:uid="{00000000-0005-0000-0000-0000FE090000}"/>
    <cellStyle name="Note 2 2 4 14 2" xfId="2559" xr:uid="{00000000-0005-0000-0000-0000FF090000}"/>
    <cellStyle name="Note 2 2 4 14 3" xfId="2560" xr:uid="{00000000-0005-0000-0000-0000000A0000}"/>
    <cellStyle name="Note 2 2 4 14 4" xfId="2561" xr:uid="{00000000-0005-0000-0000-0000010A0000}"/>
    <cellStyle name="Note 2 2 4 14 5" xfId="2562" xr:uid="{00000000-0005-0000-0000-0000020A0000}"/>
    <cellStyle name="Note 2 2 4 15" xfId="2563" xr:uid="{00000000-0005-0000-0000-0000030A0000}"/>
    <cellStyle name="Note 2 2 4 15 2" xfId="2564" xr:uid="{00000000-0005-0000-0000-0000040A0000}"/>
    <cellStyle name="Note 2 2 4 15 3" xfId="2565" xr:uid="{00000000-0005-0000-0000-0000050A0000}"/>
    <cellStyle name="Note 2 2 4 15 4" xfId="2566" xr:uid="{00000000-0005-0000-0000-0000060A0000}"/>
    <cellStyle name="Note 2 2 4 15 5" xfId="2567" xr:uid="{00000000-0005-0000-0000-0000070A0000}"/>
    <cellStyle name="Note 2 2 4 16" xfId="2568" xr:uid="{00000000-0005-0000-0000-0000080A0000}"/>
    <cellStyle name="Note 2 2 4 16 2" xfId="2569" xr:uid="{00000000-0005-0000-0000-0000090A0000}"/>
    <cellStyle name="Note 2 2 4 16 3" xfId="2570" xr:uid="{00000000-0005-0000-0000-00000A0A0000}"/>
    <cellStyle name="Note 2 2 4 16 4" xfId="2571" xr:uid="{00000000-0005-0000-0000-00000B0A0000}"/>
    <cellStyle name="Note 2 2 4 16 5" xfId="2572" xr:uid="{00000000-0005-0000-0000-00000C0A0000}"/>
    <cellStyle name="Note 2 2 4 17" xfId="2573" xr:uid="{00000000-0005-0000-0000-00000D0A0000}"/>
    <cellStyle name="Note 2 2 4 17 2" xfId="2574" xr:uid="{00000000-0005-0000-0000-00000E0A0000}"/>
    <cellStyle name="Note 2 2 4 17 3" xfId="2575" xr:uid="{00000000-0005-0000-0000-00000F0A0000}"/>
    <cellStyle name="Note 2 2 4 17 4" xfId="2576" xr:uid="{00000000-0005-0000-0000-0000100A0000}"/>
    <cellStyle name="Note 2 2 4 17 5" xfId="2577" xr:uid="{00000000-0005-0000-0000-0000110A0000}"/>
    <cellStyle name="Note 2 2 4 18" xfId="2578" xr:uid="{00000000-0005-0000-0000-0000120A0000}"/>
    <cellStyle name="Note 2 2 4 18 2" xfId="2579" xr:uid="{00000000-0005-0000-0000-0000130A0000}"/>
    <cellStyle name="Note 2 2 4 18 3" xfId="2580" xr:uid="{00000000-0005-0000-0000-0000140A0000}"/>
    <cellStyle name="Note 2 2 4 18 4" xfId="2581" xr:uid="{00000000-0005-0000-0000-0000150A0000}"/>
    <cellStyle name="Note 2 2 4 18 5" xfId="2582" xr:uid="{00000000-0005-0000-0000-0000160A0000}"/>
    <cellStyle name="Note 2 2 4 19" xfId="2583" xr:uid="{00000000-0005-0000-0000-0000170A0000}"/>
    <cellStyle name="Note 2 2 4 19 2" xfId="2584" xr:uid="{00000000-0005-0000-0000-0000180A0000}"/>
    <cellStyle name="Note 2 2 4 19 3" xfId="2585" xr:uid="{00000000-0005-0000-0000-0000190A0000}"/>
    <cellStyle name="Note 2 2 4 19 4" xfId="2586" xr:uid="{00000000-0005-0000-0000-00001A0A0000}"/>
    <cellStyle name="Note 2 2 4 2" xfId="2587" xr:uid="{00000000-0005-0000-0000-00001B0A0000}"/>
    <cellStyle name="Note 2 2 4 2 2" xfId="2588" xr:uid="{00000000-0005-0000-0000-00001C0A0000}"/>
    <cellStyle name="Note 2 2 4 2 3" xfId="2589" xr:uid="{00000000-0005-0000-0000-00001D0A0000}"/>
    <cellStyle name="Note 2 2 4 2 4" xfId="2590" xr:uid="{00000000-0005-0000-0000-00001E0A0000}"/>
    <cellStyle name="Note 2 2 4 2 5" xfId="2591" xr:uid="{00000000-0005-0000-0000-00001F0A0000}"/>
    <cellStyle name="Note 2 2 4 20" xfId="2592" xr:uid="{00000000-0005-0000-0000-0000200A0000}"/>
    <cellStyle name="Note 2 2 4 20 2" xfId="2593" xr:uid="{00000000-0005-0000-0000-0000210A0000}"/>
    <cellStyle name="Note 2 2 4 20 3" xfId="2594" xr:uid="{00000000-0005-0000-0000-0000220A0000}"/>
    <cellStyle name="Note 2 2 4 20 4" xfId="2595" xr:uid="{00000000-0005-0000-0000-0000230A0000}"/>
    <cellStyle name="Note 2 2 4 21" xfId="2596" xr:uid="{00000000-0005-0000-0000-0000240A0000}"/>
    <cellStyle name="Note 2 2 4 21 2" xfId="2597" xr:uid="{00000000-0005-0000-0000-0000250A0000}"/>
    <cellStyle name="Note 2 2 4 21 3" xfId="2598" xr:uid="{00000000-0005-0000-0000-0000260A0000}"/>
    <cellStyle name="Note 2 2 4 21 4" xfId="2599" xr:uid="{00000000-0005-0000-0000-0000270A0000}"/>
    <cellStyle name="Note 2 2 4 22" xfId="2600" xr:uid="{00000000-0005-0000-0000-0000280A0000}"/>
    <cellStyle name="Note 2 2 4 22 2" xfId="2601" xr:uid="{00000000-0005-0000-0000-0000290A0000}"/>
    <cellStyle name="Note 2 2 4 22 3" xfId="2602" xr:uid="{00000000-0005-0000-0000-00002A0A0000}"/>
    <cellStyle name="Note 2 2 4 22 4" xfId="2603" xr:uid="{00000000-0005-0000-0000-00002B0A0000}"/>
    <cellStyle name="Note 2 2 4 23" xfId="2604" xr:uid="{00000000-0005-0000-0000-00002C0A0000}"/>
    <cellStyle name="Note 2 2 4 3" xfId="2605" xr:uid="{00000000-0005-0000-0000-00002D0A0000}"/>
    <cellStyle name="Note 2 2 4 3 2" xfId="2606" xr:uid="{00000000-0005-0000-0000-00002E0A0000}"/>
    <cellStyle name="Note 2 2 4 3 3" xfId="2607" xr:uid="{00000000-0005-0000-0000-00002F0A0000}"/>
    <cellStyle name="Note 2 2 4 3 4" xfId="2608" xr:uid="{00000000-0005-0000-0000-0000300A0000}"/>
    <cellStyle name="Note 2 2 4 3 5" xfId="2609" xr:uid="{00000000-0005-0000-0000-0000310A0000}"/>
    <cellStyle name="Note 2 2 4 4" xfId="2610" xr:uid="{00000000-0005-0000-0000-0000320A0000}"/>
    <cellStyle name="Note 2 2 4 4 2" xfId="2611" xr:uid="{00000000-0005-0000-0000-0000330A0000}"/>
    <cellStyle name="Note 2 2 4 4 3" xfId="2612" xr:uid="{00000000-0005-0000-0000-0000340A0000}"/>
    <cellStyle name="Note 2 2 4 4 4" xfId="2613" xr:uid="{00000000-0005-0000-0000-0000350A0000}"/>
    <cellStyle name="Note 2 2 4 4 5" xfId="2614" xr:uid="{00000000-0005-0000-0000-0000360A0000}"/>
    <cellStyle name="Note 2 2 4 5" xfId="2615" xr:uid="{00000000-0005-0000-0000-0000370A0000}"/>
    <cellStyle name="Note 2 2 4 5 2" xfId="2616" xr:uid="{00000000-0005-0000-0000-0000380A0000}"/>
    <cellStyle name="Note 2 2 4 5 3" xfId="2617" xr:uid="{00000000-0005-0000-0000-0000390A0000}"/>
    <cellStyle name="Note 2 2 4 5 4" xfId="2618" xr:uid="{00000000-0005-0000-0000-00003A0A0000}"/>
    <cellStyle name="Note 2 2 4 5 5" xfId="2619" xr:uid="{00000000-0005-0000-0000-00003B0A0000}"/>
    <cellStyle name="Note 2 2 4 6" xfId="2620" xr:uid="{00000000-0005-0000-0000-00003C0A0000}"/>
    <cellStyle name="Note 2 2 4 6 2" xfId="2621" xr:uid="{00000000-0005-0000-0000-00003D0A0000}"/>
    <cellStyle name="Note 2 2 4 6 3" xfId="2622" xr:uid="{00000000-0005-0000-0000-00003E0A0000}"/>
    <cellStyle name="Note 2 2 4 6 4" xfId="2623" xr:uid="{00000000-0005-0000-0000-00003F0A0000}"/>
    <cellStyle name="Note 2 2 4 6 5" xfId="2624" xr:uid="{00000000-0005-0000-0000-0000400A0000}"/>
    <cellStyle name="Note 2 2 4 7" xfId="2625" xr:uid="{00000000-0005-0000-0000-0000410A0000}"/>
    <cellStyle name="Note 2 2 4 7 2" xfId="2626" xr:uid="{00000000-0005-0000-0000-0000420A0000}"/>
    <cellStyle name="Note 2 2 4 7 3" xfId="2627" xr:uid="{00000000-0005-0000-0000-0000430A0000}"/>
    <cellStyle name="Note 2 2 4 7 4" xfId="2628" xr:uid="{00000000-0005-0000-0000-0000440A0000}"/>
    <cellStyle name="Note 2 2 4 7 5" xfId="2629" xr:uid="{00000000-0005-0000-0000-0000450A0000}"/>
    <cellStyle name="Note 2 2 4 8" xfId="2630" xr:uid="{00000000-0005-0000-0000-0000460A0000}"/>
    <cellStyle name="Note 2 2 4 8 2" xfId="2631" xr:uid="{00000000-0005-0000-0000-0000470A0000}"/>
    <cellStyle name="Note 2 2 4 8 3" xfId="2632" xr:uid="{00000000-0005-0000-0000-0000480A0000}"/>
    <cellStyle name="Note 2 2 4 8 4" xfId="2633" xr:uid="{00000000-0005-0000-0000-0000490A0000}"/>
    <cellStyle name="Note 2 2 4 8 5" xfId="2634" xr:uid="{00000000-0005-0000-0000-00004A0A0000}"/>
    <cellStyle name="Note 2 2 4 9" xfId="2635" xr:uid="{00000000-0005-0000-0000-00004B0A0000}"/>
    <cellStyle name="Note 2 2 4 9 2" xfId="2636" xr:uid="{00000000-0005-0000-0000-00004C0A0000}"/>
    <cellStyle name="Note 2 2 4 9 3" xfId="2637" xr:uid="{00000000-0005-0000-0000-00004D0A0000}"/>
    <cellStyle name="Note 2 2 4 9 4" xfId="2638" xr:uid="{00000000-0005-0000-0000-00004E0A0000}"/>
    <cellStyle name="Note 2 2 4 9 5" xfId="2639" xr:uid="{00000000-0005-0000-0000-00004F0A0000}"/>
    <cellStyle name="Note 2 2 5" xfId="2640" xr:uid="{00000000-0005-0000-0000-0000500A0000}"/>
    <cellStyle name="Note 2 2 5 10" xfId="2641" xr:uid="{00000000-0005-0000-0000-0000510A0000}"/>
    <cellStyle name="Note 2 2 5 10 2" xfId="2642" xr:uid="{00000000-0005-0000-0000-0000520A0000}"/>
    <cellStyle name="Note 2 2 5 10 3" xfId="2643" xr:uid="{00000000-0005-0000-0000-0000530A0000}"/>
    <cellStyle name="Note 2 2 5 10 4" xfId="2644" xr:uid="{00000000-0005-0000-0000-0000540A0000}"/>
    <cellStyle name="Note 2 2 5 10 5" xfId="2645" xr:uid="{00000000-0005-0000-0000-0000550A0000}"/>
    <cellStyle name="Note 2 2 5 11" xfId="2646" xr:uid="{00000000-0005-0000-0000-0000560A0000}"/>
    <cellStyle name="Note 2 2 5 11 2" xfId="2647" xr:uid="{00000000-0005-0000-0000-0000570A0000}"/>
    <cellStyle name="Note 2 2 5 11 3" xfId="2648" xr:uid="{00000000-0005-0000-0000-0000580A0000}"/>
    <cellStyle name="Note 2 2 5 11 4" xfId="2649" xr:uid="{00000000-0005-0000-0000-0000590A0000}"/>
    <cellStyle name="Note 2 2 5 11 5" xfId="2650" xr:uid="{00000000-0005-0000-0000-00005A0A0000}"/>
    <cellStyle name="Note 2 2 5 12" xfId="2651" xr:uid="{00000000-0005-0000-0000-00005B0A0000}"/>
    <cellStyle name="Note 2 2 5 12 2" xfId="2652" xr:uid="{00000000-0005-0000-0000-00005C0A0000}"/>
    <cellStyle name="Note 2 2 5 12 3" xfId="2653" xr:uid="{00000000-0005-0000-0000-00005D0A0000}"/>
    <cellStyle name="Note 2 2 5 12 4" xfId="2654" xr:uid="{00000000-0005-0000-0000-00005E0A0000}"/>
    <cellStyle name="Note 2 2 5 12 5" xfId="2655" xr:uid="{00000000-0005-0000-0000-00005F0A0000}"/>
    <cellStyle name="Note 2 2 5 13" xfId="2656" xr:uid="{00000000-0005-0000-0000-0000600A0000}"/>
    <cellStyle name="Note 2 2 5 13 2" xfId="2657" xr:uid="{00000000-0005-0000-0000-0000610A0000}"/>
    <cellStyle name="Note 2 2 5 13 3" xfId="2658" xr:uid="{00000000-0005-0000-0000-0000620A0000}"/>
    <cellStyle name="Note 2 2 5 13 4" xfId="2659" xr:uid="{00000000-0005-0000-0000-0000630A0000}"/>
    <cellStyle name="Note 2 2 5 13 5" xfId="2660" xr:uid="{00000000-0005-0000-0000-0000640A0000}"/>
    <cellStyle name="Note 2 2 5 14" xfId="2661" xr:uid="{00000000-0005-0000-0000-0000650A0000}"/>
    <cellStyle name="Note 2 2 5 14 2" xfId="2662" xr:uid="{00000000-0005-0000-0000-0000660A0000}"/>
    <cellStyle name="Note 2 2 5 14 3" xfId="2663" xr:uid="{00000000-0005-0000-0000-0000670A0000}"/>
    <cellStyle name="Note 2 2 5 14 4" xfId="2664" xr:uid="{00000000-0005-0000-0000-0000680A0000}"/>
    <cellStyle name="Note 2 2 5 14 5" xfId="2665" xr:uid="{00000000-0005-0000-0000-0000690A0000}"/>
    <cellStyle name="Note 2 2 5 15" xfId="2666" xr:uid="{00000000-0005-0000-0000-00006A0A0000}"/>
    <cellStyle name="Note 2 2 5 15 2" xfId="2667" xr:uid="{00000000-0005-0000-0000-00006B0A0000}"/>
    <cellStyle name="Note 2 2 5 15 3" xfId="2668" xr:uid="{00000000-0005-0000-0000-00006C0A0000}"/>
    <cellStyle name="Note 2 2 5 15 4" xfId="2669" xr:uid="{00000000-0005-0000-0000-00006D0A0000}"/>
    <cellStyle name="Note 2 2 5 15 5" xfId="2670" xr:uid="{00000000-0005-0000-0000-00006E0A0000}"/>
    <cellStyle name="Note 2 2 5 16" xfId="2671" xr:uid="{00000000-0005-0000-0000-00006F0A0000}"/>
    <cellStyle name="Note 2 2 5 16 2" xfId="2672" xr:uid="{00000000-0005-0000-0000-0000700A0000}"/>
    <cellStyle name="Note 2 2 5 16 3" xfId="2673" xr:uid="{00000000-0005-0000-0000-0000710A0000}"/>
    <cellStyle name="Note 2 2 5 16 4" xfId="2674" xr:uid="{00000000-0005-0000-0000-0000720A0000}"/>
    <cellStyle name="Note 2 2 5 16 5" xfId="2675" xr:uid="{00000000-0005-0000-0000-0000730A0000}"/>
    <cellStyle name="Note 2 2 5 17" xfId="2676" xr:uid="{00000000-0005-0000-0000-0000740A0000}"/>
    <cellStyle name="Note 2 2 5 17 2" xfId="2677" xr:uid="{00000000-0005-0000-0000-0000750A0000}"/>
    <cellStyle name="Note 2 2 5 17 3" xfId="2678" xr:uid="{00000000-0005-0000-0000-0000760A0000}"/>
    <cellStyle name="Note 2 2 5 17 4" xfId="2679" xr:uid="{00000000-0005-0000-0000-0000770A0000}"/>
    <cellStyle name="Note 2 2 5 17 5" xfId="2680" xr:uid="{00000000-0005-0000-0000-0000780A0000}"/>
    <cellStyle name="Note 2 2 5 18" xfId="2681" xr:uid="{00000000-0005-0000-0000-0000790A0000}"/>
    <cellStyle name="Note 2 2 5 18 2" xfId="2682" xr:uid="{00000000-0005-0000-0000-00007A0A0000}"/>
    <cellStyle name="Note 2 2 5 18 3" xfId="2683" xr:uid="{00000000-0005-0000-0000-00007B0A0000}"/>
    <cellStyle name="Note 2 2 5 18 4" xfId="2684" xr:uid="{00000000-0005-0000-0000-00007C0A0000}"/>
    <cellStyle name="Note 2 2 5 18 5" xfId="2685" xr:uid="{00000000-0005-0000-0000-00007D0A0000}"/>
    <cellStyle name="Note 2 2 5 19" xfId="2686" xr:uid="{00000000-0005-0000-0000-00007E0A0000}"/>
    <cellStyle name="Note 2 2 5 19 2" xfId="2687" xr:uid="{00000000-0005-0000-0000-00007F0A0000}"/>
    <cellStyle name="Note 2 2 5 19 3" xfId="2688" xr:uid="{00000000-0005-0000-0000-0000800A0000}"/>
    <cellStyle name="Note 2 2 5 19 4" xfId="2689" xr:uid="{00000000-0005-0000-0000-0000810A0000}"/>
    <cellStyle name="Note 2 2 5 2" xfId="2690" xr:uid="{00000000-0005-0000-0000-0000820A0000}"/>
    <cellStyle name="Note 2 2 5 2 2" xfId="2691" xr:uid="{00000000-0005-0000-0000-0000830A0000}"/>
    <cellStyle name="Note 2 2 5 2 3" xfId="2692" xr:uid="{00000000-0005-0000-0000-0000840A0000}"/>
    <cellStyle name="Note 2 2 5 2 4" xfId="2693" xr:uid="{00000000-0005-0000-0000-0000850A0000}"/>
    <cellStyle name="Note 2 2 5 2 5" xfId="2694" xr:uid="{00000000-0005-0000-0000-0000860A0000}"/>
    <cellStyle name="Note 2 2 5 20" xfId="2695" xr:uid="{00000000-0005-0000-0000-0000870A0000}"/>
    <cellStyle name="Note 2 2 5 20 2" xfId="2696" xr:uid="{00000000-0005-0000-0000-0000880A0000}"/>
    <cellStyle name="Note 2 2 5 20 3" xfId="2697" xr:uid="{00000000-0005-0000-0000-0000890A0000}"/>
    <cellStyle name="Note 2 2 5 20 4" xfId="2698" xr:uid="{00000000-0005-0000-0000-00008A0A0000}"/>
    <cellStyle name="Note 2 2 5 21" xfId="2699" xr:uid="{00000000-0005-0000-0000-00008B0A0000}"/>
    <cellStyle name="Note 2 2 5 21 2" xfId="2700" xr:uid="{00000000-0005-0000-0000-00008C0A0000}"/>
    <cellStyle name="Note 2 2 5 21 3" xfId="2701" xr:uid="{00000000-0005-0000-0000-00008D0A0000}"/>
    <cellStyle name="Note 2 2 5 21 4" xfId="2702" xr:uid="{00000000-0005-0000-0000-00008E0A0000}"/>
    <cellStyle name="Note 2 2 5 22" xfId="2703" xr:uid="{00000000-0005-0000-0000-00008F0A0000}"/>
    <cellStyle name="Note 2 2 5 22 2" xfId="2704" xr:uid="{00000000-0005-0000-0000-0000900A0000}"/>
    <cellStyle name="Note 2 2 5 22 3" xfId="2705" xr:uid="{00000000-0005-0000-0000-0000910A0000}"/>
    <cellStyle name="Note 2 2 5 22 4" xfId="2706" xr:uid="{00000000-0005-0000-0000-0000920A0000}"/>
    <cellStyle name="Note 2 2 5 23" xfId="2707" xr:uid="{00000000-0005-0000-0000-0000930A0000}"/>
    <cellStyle name="Note 2 2 5 3" xfId="2708" xr:uid="{00000000-0005-0000-0000-0000940A0000}"/>
    <cellStyle name="Note 2 2 5 3 2" xfId="2709" xr:uid="{00000000-0005-0000-0000-0000950A0000}"/>
    <cellStyle name="Note 2 2 5 3 3" xfId="2710" xr:uid="{00000000-0005-0000-0000-0000960A0000}"/>
    <cellStyle name="Note 2 2 5 3 4" xfId="2711" xr:uid="{00000000-0005-0000-0000-0000970A0000}"/>
    <cellStyle name="Note 2 2 5 3 5" xfId="2712" xr:uid="{00000000-0005-0000-0000-0000980A0000}"/>
    <cellStyle name="Note 2 2 5 4" xfId="2713" xr:uid="{00000000-0005-0000-0000-0000990A0000}"/>
    <cellStyle name="Note 2 2 5 4 2" xfId="2714" xr:uid="{00000000-0005-0000-0000-00009A0A0000}"/>
    <cellStyle name="Note 2 2 5 4 3" xfId="2715" xr:uid="{00000000-0005-0000-0000-00009B0A0000}"/>
    <cellStyle name="Note 2 2 5 4 4" xfId="2716" xr:uid="{00000000-0005-0000-0000-00009C0A0000}"/>
    <cellStyle name="Note 2 2 5 4 5" xfId="2717" xr:uid="{00000000-0005-0000-0000-00009D0A0000}"/>
    <cellStyle name="Note 2 2 5 5" xfId="2718" xr:uid="{00000000-0005-0000-0000-00009E0A0000}"/>
    <cellStyle name="Note 2 2 5 5 2" xfId="2719" xr:uid="{00000000-0005-0000-0000-00009F0A0000}"/>
    <cellStyle name="Note 2 2 5 5 3" xfId="2720" xr:uid="{00000000-0005-0000-0000-0000A00A0000}"/>
    <cellStyle name="Note 2 2 5 5 4" xfId="2721" xr:uid="{00000000-0005-0000-0000-0000A10A0000}"/>
    <cellStyle name="Note 2 2 5 5 5" xfId="2722" xr:uid="{00000000-0005-0000-0000-0000A20A0000}"/>
    <cellStyle name="Note 2 2 5 6" xfId="2723" xr:uid="{00000000-0005-0000-0000-0000A30A0000}"/>
    <cellStyle name="Note 2 2 5 6 2" xfId="2724" xr:uid="{00000000-0005-0000-0000-0000A40A0000}"/>
    <cellStyle name="Note 2 2 5 6 3" xfId="2725" xr:uid="{00000000-0005-0000-0000-0000A50A0000}"/>
    <cellStyle name="Note 2 2 5 6 4" xfId="2726" xr:uid="{00000000-0005-0000-0000-0000A60A0000}"/>
    <cellStyle name="Note 2 2 5 6 5" xfId="2727" xr:uid="{00000000-0005-0000-0000-0000A70A0000}"/>
    <cellStyle name="Note 2 2 5 7" xfId="2728" xr:uid="{00000000-0005-0000-0000-0000A80A0000}"/>
    <cellStyle name="Note 2 2 5 7 2" xfId="2729" xr:uid="{00000000-0005-0000-0000-0000A90A0000}"/>
    <cellStyle name="Note 2 2 5 7 3" xfId="2730" xr:uid="{00000000-0005-0000-0000-0000AA0A0000}"/>
    <cellStyle name="Note 2 2 5 7 4" xfId="2731" xr:uid="{00000000-0005-0000-0000-0000AB0A0000}"/>
    <cellStyle name="Note 2 2 5 7 5" xfId="2732" xr:uid="{00000000-0005-0000-0000-0000AC0A0000}"/>
    <cellStyle name="Note 2 2 5 8" xfId="2733" xr:uid="{00000000-0005-0000-0000-0000AD0A0000}"/>
    <cellStyle name="Note 2 2 5 8 2" xfId="2734" xr:uid="{00000000-0005-0000-0000-0000AE0A0000}"/>
    <cellStyle name="Note 2 2 5 8 3" xfId="2735" xr:uid="{00000000-0005-0000-0000-0000AF0A0000}"/>
    <cellStyle name="Note 2 2 5 8 4" xfId="2736" xr:uid="{00000000-0005-0000-0000-0000B00A0000}"/>
    <cellStyle name="Note 2 2 5 8 5" xfId="2737" xr:uid="{00000000-0005-0000-0000-0000B10A0000}"/>
    <cellStyle name="Note 2 2 5 9" xfId="2738" xr:uid="{00000000-0005-0000-0000-0000B20A0000}"/>
    <cellStyle name="Note 2 2 5 9 2" xfId="2739" xr:uid="{00000000-0005-0000-0000-0000B30A0000}"/>
    <cellStyle name="Note 2 2 5 9 3" xfId="2740" xr:uid="{00000000-0005-0000-0000-0000B40A0000}"/>
    <cellStyle name="Note 2 2 5 9 4" xfId="2741" xr:uid="{00000000-0005-0000-0000-0000B50A0000}"/>
    <cellStyle name="Note 2 2 5 9 5" xfId="2742" xr:uid="{00000000-0005-0000-0000-0000B60A0000}"/>
    <cellStyle name="Note 2 2 6" xfId="2743" xr:uid="{00000000-0005-0000-0000-0000B70A0000}"/>
    <cellStyle name="Note 2 2 6 10" xfId="2744" xr:uid="{00000000-0005-0000-0000-0000B80A0000}"/>
    <cellStyle name="Note 2 2 6 10 2" xfId="2745" xr:uid="{00000000-0005-0000-0000-0000B90A0000}"/>
    <cellStyle name="Note 2 2 6 10 3" xfId="2746" xr:uid="{00000000-0005-0000-0000-0000BA0A0000}"/>
    <cellStyle name="Note 2 2 6 10 4" xfId="2747" xr:uid="{00000000-0005-0000-0000-0000BB0A0000}"/>
    <cellStyle name="Note 2 2 6 10 5" xfId="2748" xr:uid="{00000000-0005-0000-0000-0000BC0A0000}"/>
    <cellStyle name="Note 2 2 6 11" xfId="2749" xr:uid="{00000000-0005-0000-0000-0000BD0A0000}"/>
    <cellStyle name="Note 2 2 6 11 2" xfId="2750" xr:uid="{00000000-0005-0000-0000-0000BE0A0000}"/>
    <cellStyle name="Note 2 2 6 11 3" xfId="2751" xr:uid="{00000000-0005-0000-0000-0000BF0A0000}"/>
    <cellStyle name="Note 2 2 6 11 4" xfId="2752" xr:uid="{00000000-0005-0000-0000-0000C00A0000}"/>
    <cellStyle name="Note 2 2 6 11 5" xfId="2753" xr:uid="{00000000-0005-0000-0000-0000C10A0000}"/>
    <cellStyle name="Note 2 2 6 12" xfId="2754" xr:uid="{00000000-0005-0000-0000-0000C20A0000}"/>
    <cellStyle name="Note 2 2 6 12 2" xfId="2755" xr:uid="{00000000-0005-0000-0000-0000C30A0000}"/>
    <cellStyle name="Note 2 2 6 12 3" xfId="2756" xr:uid="{00000000-0005-0000-0000-0000C40A0000}"/>
    <cellStyle name="Note 2 2 6 12 4" xfId="2757" xr:uid="{00000000-0005-0000-0000-0000C50A0000}"/>
    <cellStyle name="Note 2 2 6 12 5" xfId="2758" xr:uid="{00000000-0005-0000-0000-0000C60A0000}"/>
    <cellStyle name="Note 2 2 6 13" xfId="2759" xr:uid="{00000000-0005-0000-0000-0000C70A0000}"/>
    <cellStyle name="Note 2 2 6 13 2" xfId="2760" xr:uid="{00000000-0005-0000-0000-0000C80A0000}"/>
    <cellStyle name="Note 2 2 6 13 3" xfId="2761" xr:uid="{00000000-0005-0000-0000-0000C90A0000}"/>
    <cellStyle name="Note 2 2 6 13 4" xfId="2762" xr:uid="{00000000-0005-0000-0000-0000CA0A0000}"/>
    <cellStyle name="Note 2 2 6 13 5" xfId="2763" xr:uid="{00000000-0005-0000-0000-0000CB0A0000}"/>
    <cellStyle name="Note 2 2 6 14" xfId="2764" xr:uid="{00000000-0005-0000-0000-0000CC0A0000}"/>
    <cellStyle name="Note 2 2 6 14 2" xfId="2765" xr:uid="{00000000-0005-0000-0000-0000CD0A0000}"/>
    <cellStyle name="Note 2 2 6 14 3" xfId="2766" xr:uid="{00000000-0005-0000-0000-0000CE0A0000}"/>
    <cellStyle name="Note 2 2 6 14 4" xfId="2767" xr:uid="{00000000-0005-0000-0000-0000CF0A0000}"/>
    <cellStyle name="Note 2 2 6 14 5" xfId="2768" xr:uid="{00000000-0005-0000-0000-0000D00A0000}"/>
    <cellStyle name="Note 2 2 6 15" xfId="2769" xr:uid="{00000000-0005-0000-0000-0000D10A0000}"/>
    <cellStyle name="Note 2 2 6 15 2" xfId="2770" xr:uid="{00000000-0005-0000-0000-0000D20A0000}"/>
    <cellStyle name="Note 2 2 6 15 3" xfId="2771" xr:uid="{00000000-0005-0000-0000-0000D30A0000}"/>
    <cellStyle name="Note 2 2 6 15 4" xfId="2772" xr:uid="{00000000-0005-0000-0000-0000D40A0000}"/>
    <cellStyle name="Note 2 2 6 15 5" xfId="2773" xr:uid="{00000000-0005-0000-0000-0000D50A0000}"/>
    <cellStyle name="Note 2 2 6 16" xfId="2774" xr:uid="{00000000-0005-0000-0000-0000D60A0000}"/>
    <cellStyle name="Note 2 2 6 16 2" xfId="2775" xr:uid="{00000000-0005-0000-0000-0000D70A0000}"/>
    <cellStyle name="Note 2 2 6 16 3" xfId="2776" xr:uid="{00000000-0005-0000-0000-0000D80A0000}"/>
    <cellStyle name="Note 2 2 6 16 4" xfId="2777" xr:uid="{00000000-0005-0000-0000-0000D90A0000}"/>
    <cellStyle name="Note 2 2 6 16 5" xfId="2778" xr:uid="{00000000-0005-0000-0000-0000DA0A0000}"/>
    <cellStyle name="Note 2 2 6 17" xfId="2779" xr:uid="{00000000-0005-0000-0000-0000DB0A0000}"/>
    <cellStyle name="Note 2 2 6 17 2" xfId="2780" xr:uid="{00000000-0005-0000-0000-0000DC0A0000}"/>
    <cellStyle name="Note 2 2 6 17 3" xfId="2781" xr:uid="{00000000-0005-0000-0000-0000DD0A0000}"/>
    <cellStyle name="Note 2 2 6 17 4" xfId="2782" xr:uid="{00000000-0005-0000-0000-0000DE0A0000}"/>
    <cellStyle name="Note 2 2 6 17 5" xfId="2783" xr:uid="{00000000-0005-0000-0000-0000DF0A0000}"/>
    <cellStyle name="Note 2 2 6 18" xfId="2784" xr:uid="{00000000-0005-0000-0000-0000E00A0000}"/>
    <cellStyle name="Note 2 2 6 18 2" xfId="2785" xr:uid="{00000000-0005-0000-0000-0000E10A0000}"/>
    <cellStyle name="Note 2 2 6 18 3" xfId="2786" xr:uid="{00000000-0005-0000-0000-0000E20A0000}"/>
    <cellStyle name="Note 2 2 6 18 4" xfId="2787" xr:uid="{00000000-0005-0000-0000-0000E30A0000}"/>
    <cellStyle name="Note 2 2 6 18 5" xfId="2788" xr:uid="{00000000-0005-0000-0000-0000E40A0000}"/>
    <cellStyle name="Note 2 2 6 19" xfId="2789" xr:uid="{00000000-0005-0000-0000-0000E50A0000}"/>
    <cellStyle name="Note 2 2 6 19 2" xfId="2790" xr:uid="{00000000-0005-0000-0000-0000E60A0000}"/>
    <cellStyle name="Note 2 2 6 19 3" xfId="2791" xr:uid="{00000000-0005-0000-0000-0000E70A0000}"/>
    <cellStyle name="Note 2 2 6 19 4" xfId="2792" xr:uid="{00000000-0005-0000-0000-0000E80A0000}"/>
    <cellStyle name="Note 2 2 6 19 5" xfId="2793" xr:uid="{00000000-0005-0000-0000-0000E90A0000}"/>
    <cellStyle name="Note 2 2 6 2" xfId="2794" xr:uid="{00000000-0005-0000-0000-0000EA0A0000}"/>
    <cellStyle name="Note 2 2 6 2 2" xfId="2795" xr:uid="{00000000-0005-0000-0000-0000EB0A0000}"/>
    <cellStyle name="Note 2 2 6 2 3" xfId="2796" xr:uid="{00000000-0005-0000-0000-0000EC0A0000}"/>
    <cellStyle name="Note 2 2 6 2 4" xfId="2797" xr:uid="{00000000-0005-0000-0000-0000ED0A0000}"/>
    <cellStyle name="Note 2 2 6 2 5" xfId="2798" xr:uid="{00000000-0005-0000-0000-0000EE0A0000}"/>
    <cellStyle name="Note 2 2 6 20" xfId="2799" xr:uid="{00000000-0005-0000-0000-0000EF0A0000}"/>
    <cellStyle name="Note 2 2 6 20 2" xfId="2800" xr:uid="{00000000-0005-0000-0000-0000F00A0000}"/>
    <cellStyle name="Note 2 2 6 20 3" xfId="2801" xr:uid="{00000000-0005-0000-0000-0000F10A0000}"/>
    <cellStyle name="Note 2 2 6 20 4" xfId="2802" xr:uid="{00000000-0005-0000-0000-0000F20A0000}"/>
    <cellStyle name="Note 2 2 6 20 5" xfId="2803" xr:uid="{00000000-0005-0000-0000-0000F30A0000}"/>
    <cellStyle name="Note 2 2 6 21" xfId="2804" xr:uid="{00000000-0005-0000-0000-0000F40A0000}"/>
    <cellStyle name="Note 2 2 6 21 2" xfId="2805" xr:uid="{00000000-0005-0000-0000-0000F50A0000}"/>
    <cellStyle name="Note 2 2 6 21 3" xfId="2806" xr:uid="{00000000-0005-0000-0000-0000F60A0000}"/>
    <cellStyle name="Note 2 2 6 21 4" xfId="2807" xr:uid="{00000000-0005-0000-0000-0000F70A0000}"/>
    <cellStyle name="Note 2 2 6 21 5" xfId="2808" xr:uid="{00000000-0005-0000-0000-0000F80A0000}"/>
    <cellStyle name="Note 2 2 6 22" xfId="2809" xr:uid="{00000000-0005-0000-0000-0000F90A0000}"/>
    <cellStyle name="Note 2 2 6 22 2" xfId="2810" xr:uid="{00000000-0005-0000-0000-0000FA0A0000}"/>
    <cellStyle name="Note 2 2 6 22 3" xfId="2811" xr:uid="{00000000-0005-0000-0000-0000FB0A0000}"/>
    <cellStyle name="Note 2 2 6 22 4" xfId="2812" xr:uid="{00000000-0005-0000-0000-0000FC0A0000}"/>
    <cellStyle name="Note 2 2 6 23" xfId="2813" xr:uid="{00000000-0005-0000-0000-0000FD0A0000}"/>
    <cellStyle name="Note 2 2 6 23 2" xfId="2814" xr:uid="{00000000-0005-0000-0000-0000FE0A0000}"/>
    <cellStyle name="Note 2 2 6 23 3" xfId="2815" xr:uid="{00000000-0005-0000-0000-0000FF0A0000}"/>
    <cellStyle name="Note 2 2 6 23 4" xfId="2816" xr:uid="{00000000-0005-0000-0000-0000000B0000}"/>
    <cellStyle name="Note 2 2 6 24" xfId="2817" xr:uid="{00000000-0005-0000-0000-0000010B0000}"/>
    <cellStyle name="Note 2 2 6 24 2" xfId="2818" xr:uid="{00000000-0005-0000-0000-0000020B0000}"/>
    <cellStyle name="Note 2 2 6 24 3" xfId="2819" xr:uid="{00000000-0005-0000-0000-0000030B0000}"/>
    <cellStyle name="Note 2 2 6 24 4" xfId="2820" xr:uid="{00000000-0005-0000-0000-0000040B0000}"/>
    <cellStyle name="Note 2 2 6 25" xfId="2821" xr:uid="{00000000-0005-0000-0000-0000050B0000}"/>
    <cellStyle name="Note 2 2 6 25 2" xfId="2822" xr:uid="{00000000-0005-0000-0000-0000060B0000}"/>
    <cellStyle name="Note 2 2 6 25 3" xfId="2823" xr:uid="{00000000-0005-0000-0000-0000070B0000}"/>
    <cellStyle name="Note 2 2 6 25 4" xfId="2824" xr:uid="{00000000-0005-0000-0000-0000080B0000}"/>
    <cellStyle name="Note 2 2 6 3" xfId="2825" xr:uid="{00000000-0005-0000-0000-0000090B0000}"/>
    <cellStyle name="Note 2 2 6 3 2" xfId="2826" xr:uid="{00000000-0005-0000-0000-00000A0B0000}"/>
    <cellStyle name="Note 2 2 6 3 3" xfId="2827" xr:uid="{00000000-0005-0000-0000-00000B0B0000}"/>
    <cellStyle name="Note 2 2 6 3 4" xfId="2828" xr:uid="{00000000-0005-0000-0000-00000C0B0000}"/>
    <cellStyle name="Note 2 2 6 3 5" xfId="2829" xr:uid="{00000000-0005-0000-0000-00000D0B0000}"/>
    <cellStyle name="Note 2 2 6 4" xfId="2830" xr:uid="{00000000-0005-0000-0000-00000E0B0000}"/>
    <cellStyle name="Note 2 2 6 4 2" xfId="2831" xr:uid="{00000000-0005-0000-0000-00000F0B0000}"/>
    <cellStyle name="Note 2 2 6 4 3" xfId="2832" xr:uid="{00000000-0005-0000-0000-0000100B0000}"/>
    <cellStyle name="Note 2 2 6 4 4" xfId="2833" xr:uid="{00000000-0005-0000-0000-0000110B0000}"/>
    <cellStyle name="Note 2 2 6 4 5" xfId="2834" xr:uid="{00000000-0005-0000-0000-0000120B0000}"/>
    <cellStyle name="Note 2 2 6 5" xfId="2835" xr:uid="{00000000-0005-0000-0000-0000130B0000}"/>
    <cellStyle name="Note 2 2 6 5 2" xfId="2836" xr:uid="{00000000-0005-0000-0000-0000140B0000}"/>
    <cellStyle name="Note 2 2 6 5 3" xfId="2837" xr:uid="{00000000-0005-0000-0000-0000150B0000}"/>
    <cellStyle name="Note 2 2 6 5 4" xfId="2838" xr:uid="{00000000-0005-0000-0000-0000160B0000}"/>
    <cellStyle name="Note 2 2 6 5 5" xfId="2839" xr:uid="{00000000-0005-0000-0000-0000170B0000}"/>
    <cellStyle name="Note 2 2 6 6" xfId="2840" xr:uid="{00000000-0005-0000-0000-0000180B0000}"/>
    <cellStyle name="Note 2 2 6 6 2" xfId="2841" xr:uid="{00000000-0005-0000-0000-0000190B0000}"/>
    <cellStyle name="Note 2 2 6 6 3" xfId="2842" xr:uid="{00000000-0005-0000-0000-00001A0B0000}"/>
    <cellStyle name="Note 2 2 6 6 4" xfId="2843" xr:uid="{00000000-0005-0000-0000-00001B0B0000}"/>
    <cellStyle name="Note 2 2 6 6 5" xfId="2844" xr:uid="{00000000-0005-0000-0000-00001C0B0000}"/>
    <cellStyle name="Note 2 2 6 7" xfId="2845" xr:uid="{00000000-0005-0000-0000-00001D0B0000}"/>
    <cellStyle name="Note 2 2 6 7 2" xfId="2846" xr:uid="{00000000-0005-0000-0000-00001E0B0000}"/>
    <cellStyle name="Note 2 2 6 7 3" xfId="2847" xr:uid="{00000000-0005-0000-0000-00001F0B0000}"/>
    <cellStyle name="Note 2 2 6 7 4" xfId="2848" xr:uid="{00000000-0005-0000-0000-0000200B0000}"/>
    <cellStyle name="Note 2 2 6 7 5" xfId="2849" xr:uid="{00000000-0005-0000-0000-0000210B0000}"/>
    <cellStyle name="Note 2 2 6 8" xfId="2850" xr:uid="{00000000-0005-0000-0000-0000220B0000}"/>
    <cellStyle name="Note 2 2 6 8 2" xfId="2851" xr:uid="{00000000-0005-0000-0000-0000230B0000}"/>
    <cellStyle name="Note 2 2 6 8 3" xfId="2852" xr:uid="{00000000-0005-0000-0000-0000240B0000}"/>
    <cellStyle name="Note 2 2 6 8 4" xfId="2853" xr:uid="{00000000-0005-0000-0000-0000250B0000}"/>
    <cellStyle name="Note 2 2 6 8 5" xfId="2854" xr:uid="{00000000-0005-0000-0000-0000260B0000}"/>
    <cellStyle name="Note 2 2 6 9" xfId="2855" xr:uid="{00000000-0005-0000-0000-0000270B0000}"/>
    <cellStyle name="Note 2 2 6 9 2" xfId="2856" xr:uid="{00000000-0005-0000-0000-0000280B0000}"/>
    <cellStyle name="Note 2 2 6 9 3" xfId="2857" xr:uid="{00000000-0005-0000-0000-0000290B0000}"/>
    <cellStyle name="Note 2 2 6 9 4" xfId="2858" xr:uid="{00000000-0005-0000-0000-00002A0B0000}"/>
    <cellStyle name="Note 2 2 6 9 5" xfId="2859" xr:uid="{00000000-0005-0000-0000-00002B0B0000}"/>
    <cellStyle name="Note 2 2 7" xfId="2860" xr:uid="{00000000-0005-0000-0000-00002C0B0000}"/>
    <cellStyle name="Note 2 2 7 2" xfId="2861" xr:uid="{00000000-0005-0000-0000-00002D0B0000}"/>
    <cellStyle name="Note 2 2 7 3" xfId="2862" xr:uid="{00000000-0005-0000-0000-00002E0B0000}"/>
    <cellStyle name="Note 2 2 7 4" xfId="2863" xr:uid="{00000000-0005-0000-0000-00002F0B0000}"/>
    <cellStyle name="Note 2 2 7 5" xfId="2864" xr:uid="{00000000-0005-0000-0000-0000300B0000}"/>
    <cellStyle name="Note 2 2 8" xfId="2865" xr:uid="{00000000-0005-0000-0000-0000310B0000}"/>
    <cellStyle name="Note 2 2 8 2" xfId="2866" xr:uid="{00000000-0005-0000-0000-0000320B0000}"/>
    <cellStyle name="Note 2 2 8 3" xfId="2867" xr:uid="{00000000-0005-0000-0000-0000330B0000}"/>
    <cellStyle name="Note 2 2 8 4" xfId="2868" xr:uid="{00000000-0005-0000-0000-0000340B0000}"/>
    <cellStyle name="Note 2 2 8 5" xfId="2869" xr:uid="{00000000-0005-0000-0000-0000350B0000}"/>
    <cellStyle name="Note 2 2 9" xfId="2870" xr:uid="{00000000-0005-0000-0000-0000360B0000}"/>
    <cellStyle name="Note 2 2 9 2" xfId="2871" xr:uid="{00000000-0005-0000-0000-0000370B0000}"/>
    <cellStyle name="Note 2 2 9 3" xfId="2872" xr:uid="{00000000-0005-0000-0000-0000380B0000}"/>
    <cellStyle name="Note 2 2 9 4" xfId="2873" xr:uid="{00000000-0005-0000-0000-0000390B0000}"/>
    <cellStyle name="Note 2 2 9 5" xfId="2874" xr:uid="{00000000-0005-0000-0000-00003A0B0000}"/>
    <cellStyle name="Note 2 3" xfId="143" xr:uid="{00000000-0005-0000-0000-00003B0B0000}"/>
    <cellStyle name="Note 2 3 2" xfId="144" xr:uid="{00000000-0005-0000-0000-00003C0B0000}"/>
    <cellStyle name="Note 2 3 3" xfId="2875" xr:uid="{00000000-0005-0000-0000-00003D0B0000}"/>
    <cellStyle name="Note 2 4" xfId="145" xr:uid="{00000000-0005-0000-0000-00003E0B0000}"/>
    <cellStyle name="Note 2 4 2" xfId="146" xr:uid="{00000000-0005-0000-0000-00003F0B0000}"/>
    <cellStyle name="Note 2 5" xfId="147" xr:uid="{00000000-0005-0000-0000-0000400B0000}"/>
    <cellStyle name="Note 2 5 2" xfId="148" xr:uid="{00000000-0005-0000-0000-0000410B0000}"/>
    <cellStyle name="Note 2 6" xfId="149" xr:uid="{00000000-0005-0000-0000-0000420B0000}"/>
    <cellStyle name="Note 2 6 2" xfId="150" xr:uid="{00000000-0005-0000-0000-0000430B0000}"/>
    <cellStyle name="Note 3" xfId="151" xr:uid="{00000000-0005-0000-0000-0000440B0000}"/>
    <cellStyle name="Note 3 2" xfId="152" xr:uid="{00000000-0005-0000-0000-0000450B0000}"/>
    <cellStyle name="Note 3 2 2" xfId="153" xr:uid="{00000000-0005-0000-0000-0000460B0000}"/>
    <cellStyle name="Note 3 2 3" xfId="2876" xr:uid="{00000000-0005-0000-0000-0000470B0000}"/>
    <cellStyle name="Note 3 3" xfId="154" xr:uid="{00000000-0005-0000-0000-0000480B0000}"/>
    <cellStyle name="Note 3 3 2" xfId="155" xr:uid="{00000000-0005-0000-0000-0000490B0000}"/>
    <cellStyle name="Note 3 4" xfId="156" xr:uid="{00000000-0005-0000-0000-00004A0B0000}"/>
    <cellStyle name="Note 3 5" xfId="2877" xr:uid="{00000000-0005-0000-0000-00004B0B0000}"/>
    <cellStyle name="Note 4" xfId="157" xr:uid="{00000000-0005-0000-0000-00004C0B0000}"/>
    <cellStyle name="Note 4 2" xfId="158" xr:uid="{00000000-0005-0000-0000-00004D0B0000}"/>
    <cellStyle name="Note 4 3" xfId="2878" xr:uid="{00000000-0005-0000-0000-00004E0B0000}"/>
    <cellStyle name="Note 5" xfId="159" xr:uid="{00000000-0005-0000-0000-00004F0B0000}"/>
    <cellStyle name="Note 5 2" xfId="160" xr:uid="{00000000-0005-0000-0000-0000500B0000}"/>
    <cellStyle name="Note 6" xfId="161" xr:uid="{00000000-0005-0000-0000-0000510B0000}"/>
    <cellStyle name="Note 6 2" xfId="162" xr:uid="{00000000-0005-0000-0000-0000520B0000}"/>
    <cellStyle name="Note 7" xfId="163" xr:uid="{00000000-0005-0000-0000-0000530B0000}"/>
    <cellStyle name="Note 7 2" xfId="164" xr:uid="{00000000-0005-0000-0000-0000540B0000}"/>
    <cellStyle name="Note 8" xfId="165" xr:uid="{00000000-0005-0000-0000-0000550B0000}"/>
    <cellStyle name="Note 8 2" xfId="166" xr:uid="{00000000-0005-0000-0000-0000560B0000}"/>
    <cellStyle name="Number" xfId="167" xr:uid="{00000000-0005-0000-0000-0000570B0000}"/>
    <cellStyle name="Number 2" xfId="2879" xr:uid="{00000000-0005-0000-0000-0000580B0000}"/>
    <cellStyle name="Output 2" xfId="168" xr:uid="{00000000-0005-0000-0000-0000590B0000}"/>
    <cellStyle name="Output 2 10" xfId="2880" xr:uid="{00000000-0005-0000-0000-00005A0B0000}"/>
    <cellStyle name="Output 2 10 2" xfId="2881" xr:uid="{00000000-0005-0000-0000-00005B0B0000}"/>
    <cellStyle name="Output 2 10 3" xfId="2882" xr:uid="{00000000-0005-0000-0000-00005C0B0000}"/>
    <cellStyle name="Output 2 10 4" xfId="2883" xr:uid="{00000000-0005-0000-0000-00005D0B0000}"/>
    <cellStyle name="Output 2 10 5" xfId="2884" xr:uid="{00000000-0005-0000-0000-00005E0B0000}"/>
    <cellStyle name="Output 2 11" xfId="2885" xr:uid="{00000000-0005-0000-0000-00005F0B0000}"/>
    <cellStyle name="Output 2 11 2" xfId="2886" xr:uid="{00000000-0005-0000-0000-0000600B0000}"/>
    <cellStyle name="Output 2 11 3" xfId="2887" xr:uid="{00000000-0005-0000-0000-0000610B0000}"/>
    <cellStyle name="Output 2 11 4" xfId="2888" xr:uid="{00000000-0005-0000-0000-0000620B0000}"/>
    <cellStyle name="Output 2 11 5" xfId="2889" xr:uid="{00000000-0005-0000-0000-0000630B0000}"/>
    <cellStyle name="Output 2 12" xfId="2890" xr:uid="{00000000-0005-0000-0000-0000640B0000}"/>
    <cellStyle name="Output 2 12 2" xfId="2891" xr:uid="{00000000-0005-0000-0000-0000650B0000}"/>
    <cellStyle name="Output 2 12 3" xfId="2892" xr:uid="{00000000-0005-0000-0000-0000660B0000}"/>
    <cellStyle name="Output 2 12 4" xfId="2893" xr:uid="{00000000-0005-0000-0000-0000670B0000}"/>
    <cellStyle name="Output 2 12 5" xfId="2894" xr:uid="{00000000-0005-0000-0000-0000680B0000}"/>
    <cellStyle name="Output 2 13" xfId="2895" xr:uid="{00000000-0005-0000-0000-0000690B0000}"/>
    <cellStyle name="Output 2 13 2" xfId="2896" xr:uid="{00000000-0005-0000-0000-00006A0B0000}"/>
    <cellStyle name="Output 2 13 3" xfId="2897" xr:uid="{00000000-0005-0000-0000-00006B0B0000}"/>
    <cellStyle name="Output 2 13 4" xfId="2898" xr:uid="{00000000-0005-0000-0000-00006C0B0000}"/>
    <cellStyle name="Output 2 14" xfId="2899" xr:uid="{00000000-0005-0000-0000-00006D0B0000}"/>
    <cellStyle name="Output 2 14 2" xfId="2900" xr:uid="{00000000-0005-0000-0000-00006E0B0000}"/>
    <cellStyle name="Output 2 14 3" xfId="2901" xr:uid="{00000000-0005-0000-0000-00006F0B0000}"/>
    <cellStyle name="Output 2 14 4" xfId="2902" xr:uid="{00000000-0005-0000-0000-0000700B0000}"/>
    <cellStyle name="Output 2 15" xfId="2903" xr:uid="{00000000-0005-0000-0000-0000710B0000}"/>
    <cellStyle name="Output 2 15 2" xfId="2904" xr:uid="{00000000-0005-0000-0000-0000720B0000}"/>
    <cellStyle name="Output 2 15 3" xfId="2905" xr:uid="{00000000-0005-0000-0000-0000730B0000}"/>
    <cellStyle name="Output 2 15 4" xfId="2906" xr:uid="{00000000-0005-0000-0000-0000740B0000}"/>
    <cellStyle name="Output 2 16" xfId="2907" xr:uid="{00000000-0005-0000-0000-0000750B0000}"/>
    <cellStyle name="Output 2 2" xfId="2908" xr:uid="{00000000-0005-0000-0000-0000760B0000}"/>
    <cellStyle name="Output 2 2 10" xfId="2909" xr:uid="{00000000-0005-0000-0000-0000770B0000}"/>
    <cellStyle name="Output 2 2 10 2" xfId="2910" xr:uid="{00000000-0005-0000-0000-0000780B0000}"/>
    <cellStyle name="Output 2 2 10 3" xfId="2911" xr:uid="{00000000-0005-0000-0000-0000790B0000}"/>
    <cellStyle name="Output 2 2 10 4" xfId="2912" xr:uid="{00000000-0005-0000-0000-00007A0B0000}"/>
    <cellStyle name="Output 2 2 10 5" xfId="2913" xr:uid="{00000000-0005-0000-0000-00007B0B0000}"/>
    <cellStyle name="Output 2 2 11" xfId="2914" xr:uid="{00000000-0005-0000-0000-00007C0B0000}"/>
    <cellStyle name="Output 2 2 11 2" xfId="2915" xr:uid="{00000000-0005-0000-0000-00007D0B0000}"/>
    <cellStyle name="Output 2 2 11 3" xfId="2916" xr:uid="{00000000-0005-0000-0000-00007E0B0000}"/>
    <cellStyle name="Output 2 2 11 4" xfId="2917" xr:uid="{00000000-0005-0000-0000-00007F0B0000}"/>
    <cellStyle name="Output 2 2 11 5" xfId="2918" xr:uid="{00000000-0005-0000-0000-0000800B0000}"/>
    <cellStyle name="Output 2 2 12" xfId="2919" xr:uid="{00000000-0005-0000-0000-0000810B0000}"/>
    <cellStyle name="Output 2 2 12 2" xfId="2920" xr:uid="{00000000-0005-0000-0000-0000820B0000}"/>
    <cellStyle name="Output 2 2 12 3" xfId="2921" xr:uid="{00000000-0005-0000-0000-0000830B0000}"/>
    <cellStyle name="Output 2 2 12 4" xfId="2922" xr:uid="{00000000-0005-0000-0000-0000840B0000}"/>
    <cellStyle name="Output 2 2 12 5" xfId="2923" xr:uid="{00000000-0005-0000-0000-0000850B0000}"/>
    <cellStyle name="Output 2 2 13" xfId="2924" xr:uid="{00000000-0005-0000-0000-0000860B0000}"/>
    <cellStyle name="Output 2 2 13 2" xfId="2925" xr:uid="{00000000-0005-0000-0000-0000870B0000}"/>
    <cellStyle name="Output 2 2 13 3" xfId="2926" xr:uid="{00000000-0005-0000-0000-0000880B0000}"/>
    <cellStyle name="Output 2 2 13 4" xfId="2927" xr:uid="{00000000-0005-0000-0000-0000890B0000}"/>
    <cellStyle name="Output 2 2 13 5" xfId="2928" xr:uid="{00000000-0005-0000-0000-00008A0B0000}"/>
    <cellStyle name="Output 2 2 14" xfId="2929" xr:uid="{00000000-0005-0000-0000-00008B0B0000}"/>
    <cellStyle name="Output 2 2 14 2" xfId="2930" xr:uid="{00000000-0005-0000-0000-00008C0B0000}"/>
    <cellStyle name="Output 2 2 14 3" xfId="2931" xr:uid="{00000000-0005-0000-0000-00008D0B0000}"/>
    <cellStyle name="Output 2 2 14 4" xfId="2932" xr:uid="{00000000-0005-0000-0000-00008E0B0000}"/>
    <cellStyle name="Output 2 2 15" xfId="2933" xr:uid="{00000000-0005-0000-0000-00008F0B0000}"/>
    <cellStyle name="Output 2 2 15 2" xfId="2934" xr:uid="{00000000-0005-0000-0000-0000900B0000}"/>
    <cellStyle name="Output 2 2 15 3" xfId="2935" xr:uid="{00000000-0005-0000-0000-0000910B0000}"/>
    <cellStyle name="Output 2 2 15 4" xfId="2936" xr:uid="{00000000-0005-0000-0000-0000920B0000}"/>
    <cellStyle name="Output 2 2 16" xfId="2937" xr:uid="{00000000-0005-0000-0000-0000930B0000}"/>
    <cellStyle name="Output 2 2 16 2" xfId="2938" xr:uid="{00000000-0005-0000-0000-0000940B0000}"/>
    <cellStyle name="Output 2 2 16 3" xfId="2939" xr:uid="{00000000-0005-0000-0000-0000950B0000}"/>
    <cellStyle name="Output 2 2 16 4" xfId="2940" xr:uid="{00000000-0005-0000-0000-0000960B0000}"/>
    <cellStyle name="Output 2 2 17" xfId="2941" xr:uid="{00000000-0005-0000-0000-0000970B0000}"/>
    <cellStyle name="Output 2 2 2" xfId="2942" xr:uid="{00000000-0005-0000-0000-0000980B0000}"/>
    <cellStyle name="Output 2 2 2 2" xfId="2943" xr:uid="{00000000-0005-0000-0000-0000990B0000}"/>
    <cellStyle name="Output 2 2 2 3" xfId="2944" xr:uid="{00000000-0005-0000-0000-00009A0B0000}"/>
    <cellStyle name="Output 2 2 2 4" xfId="2945" xr:uid="{00000000-0005-0000-0000-00009B0B0000}"/>
    <cellStyle name="Output 2 2 2 5" xfId="2946" xr:uid="{00000000-0005-0000-0000-00009C0B0000}"/>
    <cellStyle name="Output 2 2 3" xfId="2947" xr:uid="{00000000-0005-0000-0000-00009D0B0000}"/>
    <cellStyle name="Output 2 2 3 2" xfId="2948" xr:uid="{00000000-0005-0000-0000-00009E0B0000}"/>
    <cellStyle name="Output 2 2 3 3" xfId="2949" xr:uid="{00000000-0005-0000-0000-00009F0B0000}"/>
    <cellStyle name="Output 2 2 3 4" xfId="2950" xr:uid="{00000000-0005-0000-0000-0000A00B0000}"/>
    <cellStyle name="Output 2 2 3 5" xfId="2951" xr:uid="{00000000-0005-0000-0000-0000A10B0000}"/>
    <cellStyle name="Output 2 2 4" xfId="2952" xr:uid="{00000000-0005-0000-0000-0000A20B0000}"/>
    <cellStyle name="Output 2 2 4 2" xfId="2953" xr:uid="{00000000-0005-0000-0000-0000A30B0000}"/>
    <cellStyle name="Output 2 2 4 3" xfId="2954" xr:uid="{00000000-0005-0000-0000-0000A40B0000}"/>
    <cellStyle name="Output 2 2 4 4" xfId="2955" xr:uid="{00000000-0005-0000-0000-0000A50B0000}"/>
    <cellStyle name="Output 2 2 4 5" xfId="2956" xr:uid="{00000000-0005-0000-0000-0000A60B0000}"/>
    <cellStyle name="Output 2 2 5" xfId="2957" xr:uid="{00000000-0005-0000-0000-0000A70B0000}"/>
    <cellStyle name="Output 2 2 5 2" xfId="2958" xr:uid="{00000000-0005-0000-0000-0000A80B0000}"/>
    <cellStyle name="Output 2 2 5 3" xfId="2959" xr:uid="{00000000-0005-0000-0000-0000A90B0000}"/>
    <cellStyle name="Output 2 2 5 4" xfId="2960" xr:uid="{00000000-0005-0000-0000-0000AA0B0000}"/>
    <cellStyle name="Output 2 2 5 5" xfId="2961" xr:uid="{00000000-0005-0000-0000-0000AB0B0000}"/>
    <cellStyle name="Output 2 2 6" xfId="2962" xr:uid="{00000000-0005-0000-0000-0000AC0B0000}"/>
    <cellStyle name="Output 2 2 6 2" xfId="2963" xr:uid="{00000000-0005-0000-0000-0000AD0B0000}"/>
    <cellStyle name="Output 2 2 6 3" xfId="2964" xr:uid="{00000000-0005-0000-0000-0000AE0B0000}"/>
    <cellStyle name="Output 2 2 6 4" xfId="2965" xr:uid="{00000000-0005-0000-0000-0000AF0B0000}"/>
    <cellStyle name="Output 2 2 6 5" xfId="2966" xr:uid="{00000000-0005-0000-0000-0000B00B0000}"/>
    <cellStyle name="Output 2 2 7" xfId="2967" xr:uid="{00000000-0005-0000-0000-0000B10B0000}"/>
    <cellStyle name="Output 2 2 7 2" xfId="2968" xr:uid="{00000000-0005-0000-0000-0000B20B0000}"/>
    <cellStyle name="Output 2 2 7 3" xfId="2969" xr:uid="{00000000-0005-0000-0000-0000B30B0000}"/>
    <cellStyle name="Output 2 2 7 4" xfId="2970" xr:uid="{00000000-0005-0000-0000-0000B40B0000}"/>
    <cellStyle name="Output 2 2 7 5" xfId="2971" xr:uid="{00000000-0005-0000-0000-0000B50B0000}"/>
    <cellStyle name="Output 2 2 8" xfId="2972" xr:uid="{00000000-0005-0000-0000-0000B60B0000}"/>
    <cellStyle name="Output 2 2 8 2" xfId="2973" xr:uid="{00000000-0005-0000-0000-0000B70B0000}"/>
    <cellStyle name="Output 2 2 8 3" xfId="2974" xr:uid="{00000000-0005-0000-0000-0000B80B0000}"/>
    <cellStyle name="Output 2 2 8 4" xfId="2975" xr:uid="{00000000-0005-0000-0000-0000B90B0000}"/>
    <cellStyle name="Output 2 2 8 5" xfId="2976" xr:uid="{00000000-0005-0000-0000-0000BA0B0000}"/>
    <cellStyle name="Output 2 2 9" xfId="2977" xr:uid="{00000000-0005-0000-0000-0000BB0B0000}"/>
    <cellStyle name="Output 2 2 9 2" xfId="2978" xr:uid="{00000000-0005-0000-0000-0000BC0B0000}"/>
    <cellStyle name="Output 2 2 9 3" xfId="2979" xr:uid="{00000000-0005-0000-0000-0000BD0B0000}"/>
    <cellStyle name="Output 2 2 9 4" xfId="2980" xr:uid="{00000000-0005-0000-0000-0000BE0B0000}"/>
    <cellStyle name="Output 2 2 9 5" xfId="2981" xr:uid="{00000000-0005-0000-0000-0000BF0B0000}"/>
    <cellStyle name="Output 2 3" xfId="2982" xr:uid="{00000000-0005-0000-0000-0000C00B0000}"/>
    <cellStyle name="Output 2 3 10" xfId="2983" xr:uid="{00000000-0005-0000-0000-0000C10B0000}"/>
    <cellStyle name="Output 2 3 10 2" xfId="2984" xr:uid="{00000000-0005-0000-0000-0000C20B0000}"/>
    <cellStyle name="Output 2 3 10 3" xfId="2985" xr:uid="{00000000-0005-0000-0000-0000C30B0000}"/>
    <cellStyle name="Output 2 3 10 4" xfId="2986" xr:uid="{00000000-0005-0000-0000-0000C40B0000}"/>
    <cellStyle name="Output 2 3 10 5" xfId="2987" xr:uid="{00000000-0005-0000-0000-0000C50B0000}"/>
    <cellStyle name="Output 2 3 11" xfId="2988" xr:uid="{00000000-0005-0000-0000-0000C60B0000}"/>
    <cellStyle name="Output 2 3 11 2" xfId="2989" xr:uid="{00000000-0005-0000-0000-0000C70B0000}"/>
    <cellStyle name="Output 2 3 11 3" xfId="2990" xr:uid="{00000000-0005-0000-0000-0000C80B0000}"/>
    <cellStyle name="Output 2 3 11 4" xfId="2991" xr:uid="{00000000-0005-0000-0000-0000C90B0000}"/>
    <cellStyle name="Output 2 3 11 5" xfId="2992" xr:uid="{00000000-0005-0000-0000-0000CA0B0000}"/>
    <cellStyle name="Output 2 3 12" xfId="2993" xr:uid="{00000000-0005-0000-0000-0000CB0B0000}"/>
    <cellStyle name="Output 2 3 12 2" xfId="2994" xr:uid="{00000000-0005-0000-0000-0000CC0B0000}"/>
    <cellStyle name="Output 2 3 12 3" xfId="2995" xr:uid="{00000000-0005-0000-0000-0000CD0B0000}"/>
    <cellStyle name="Output 2 3 12 4" xfId="2996" xr:uid="{00000000-0005-0000-0000-0000CE0B0000}"/>
    <cellStyle name="Output 2 3 12 5" xfId="2997" xr:uid="{00000000-0005-0000-0000-0000CF0B0000}"/>
    <cellStyle name="Output 2 3 13" xfId="2998" xr:uid="{00000000-0005-0000-0000-0000D00B0000}"/>
    <cellStyle name="Output 2 3 13 2" xfId="2999" xr:uid="{00000000-0005-0000-0000-0000D10B0000}"/>
    <cellStyle name="Output 2 3 13 3" xfId="3000" xr:uid="{00000000-0005-0000-0000-0000D20B0000}"/>
    <cellStyle name="Output 2 3 13 4" xfId="3001" xr:uid="{00000000-0005-0000-0000-0000D30B0000}"/>
    <cellStyle name="Output 2 3 13 5" xfId="3002" xr:uid="{00000000-0005-0000-0000-0000D40B0000}"/>
    <cellStyle name="Output 2 3 14" xfId="3003" xr:uid="{00000000-0005-0000-0000-0000D50B0000}"/>
    <cellStyle name="Output 2 3 14 2" xfId="3004" xr:uid="{00000000-0005-0000-0000-0000D60B0000}"/>
    <cellStyle name="Output 2 3 14 3" xfId="3005" xr:uid="{00000000-0005-0000-0000-0000D70B0000}"/>
    <cellStyle name="Output 2 3 14 4" xfId="3006" xr:uid="{00000000-0005-0000-0000-0000D80B0000}"/>
    <cellStyle name="Output 2 3 15" xfId="3007" xr:uid="{00000000-0005-0000-0000-0000D90B0000}"/>
    <cellStyle name="Output 2 3 15 2" xfId="3008" xr:uid="{00000000-0005-0000-0000-0000DA0B0000}"/>
    <cellStyle name="Output 2 3 15 3" xfId="3009" xr:uid="{00000000-0005-0000-0000-0000DB0B0000}"/>
    <cellStyle name="Output 2 3 15 4" xfId="3010" xr:uid="{00000000-0005-0000-0000-0000DC0B0000}"/>
    <cellStyle name="Output 2 3 16" xfId="3011" xr:uid="{00000000-0005-0000-0000-0000DD0B0000}"/>
    <cellStyle name="Output 2 3 16 2" xfId="3012" xr:uid="{00000000-0005-0000-0000-0000DE0B0000}"/>
    <cellStyle name="Output 2 3 16 3" xfId="3013" xr:uid="{00000000-0005-0000-0000-0000DF0B0000}"/>
    <cellStyle name="Output 2 3 16 4" xfId="3014" xr:uid="{00000000-0005-0000-0000-0000E00B0000}"/>
    <cellStyle name="Output 2 3 17" xfId="3015" xr:uid="{00000000-0005-0000-0000-0000E10B0000}"/>
    <cellStyle name="Output 2 3 2" xfId="3016" xr:uid="{00000000-0005-0000-0000-0000E20B0000}"/>
    <cellStyle name="Output 2 3 2 2" xfId="3017" xr:uid="{00000000-0005-0000-0000-0000E30B0000}"/>
    <cellStyle name="Output 2 3 2 3" xfId="3018" xr:uid="{00000000-0005-0000-0000-0000E40B0000}"/>
    <cellStyle name="Output 2 3 2 4" xfId="3019" xr:uid="{00000000-0005-0000-0000-0000E50B0000}"/>
    <cellStyle name="Output 2 3 2 5" xfId="3020" xr:uid="{00000000-0005-0000-0000-0000E60B0000}"/>
    <cellStyle name="Output 2 3 3" xfId="3021" xr:uid="{00000000-0005-0000-0000-0000E70B0000}"/>
    <cellStyle name="Output 2 3 3 2" xfId="3022" xr:uid="{00000000-0005-0000-0000-0000E80B0000}"/>
    <cellStyle name="Output 2 3 3 3" xfId="3023" xr:uid="{00000000-0005-0000-0000-0000E90B0000}"/>
    <cellStyle name="Output 2 3 3 4" xfId="3024" xr:uid="{00000000-0005-0000-0000-0000EA0B0000}"/>
    <cellStyle name="Output 2 3 3 5" xfId="3025" xr:uid="{00000000-0005-0000-0000-0000EB0B0000}"/>
    <cellStyle name="Output 2 3 4" xfId="3026" xr:uid="{00000000-0005-0000-0000-0000EC0B0000}"/>
    <cellStyle name="Output 2 3 4 2" xfId="3027" xr:uid="{00000000-0005-0000-0000-0000ED0B0000}"/>
    <cellStyle name="Output 2 3 4 3" xfId="3028" xr:uid="{00000000-0005-0000-0000-0000EE0B0000}"/>
    <cellStyle name="Output 2 3 4 4" xfId="3029" xr:uid="{00000000-0005-0000-0000-0000EF0B0000}"/>
    <cellStyle name="Output 2 3 4 5" xfId="3030" xr:uid="{00000000-0005-0000-0000-0000F00B0000}"/>
    <cellStyle name="Output 2 3 5" xfId="3031" xr:uid="{00000000-0005-0000-0000-0000F10B0000}"/>
    <cellStyle name="Output 2 3 5 2" xfId="3032" xr:uid="{00000000-0005-0000-0000-0000F20B0000}"/>
    <cellStyle name="Output 2 3 5 3" xfId="3033" xr:uid="{00000000-0005-0000-0000-0000F30B0000}"/>
    <cellStyle name="Output 2 3 5 4" xfId="3034" xr:uid="{00000000-0005-0000-0000-0000F40B0000}"/>
    <cellStyle name="Output 2 3 5 5" xfId="3035" xr:uid="{00000000-0005-0000-0000-0000F50B0000}"/>
    <cellStyle name="Output 2 3 6" xfId="3036" xr:uid="{00000000-0005-0000-0000-0000F60B0000}"/>
    <cellStyle name="Output 2 3 6 2" xfId="3037" xr:uid="{00000000-0005-0000-0000-0000F70B0000}"/>
    <cellStyle name="Output 2 3 6 3" xfId="3038" xr:uid="{00000000-0005-0000-0000-0000F80B0000}"/>
    <cellStyle name="Output 2 3 6 4" xfId="3039" xr:uid="{00000000-0005-0000-0000-0000F90B0000}"/>
    <cellStyle name="Output 2 3 6 5" xfId="3040" xr:uid="{00000000-0005-0000-0000-0000FA0B0000}"/>
    <cellStyle name="Output 2 3 7" xfId="3041" xr:uid="{00000000-0005-0000-0000-0000FB0B0000}"/>
    <cellStyle name="Output 2 3 7 2" xfId="3042" xr:uid="{00000000-0005-0000-0000-0000FC0B0000}"/>
    <cellStyle name="Output 2 3 7 3" xfId="3043" xr:uid="{00000000-0005-0000-0000-0000FD0B0000}"/>
    <cellStyle name="Output 2 3 7 4" xfId="3044" xr:uid="{00000000-0005-0000-0000-0000FE0B0000}"/>
    <cellStyle name="Output 2 3 7 5" xfId="3045" xr:uid="{00000000-0005-0000-0000-0000FF0B0000}"/>
    <cellStyle name="Output 2 3 8" xfId="3046" xr:uid="{00000000-0005-0000-0000-0000000C0000}"/>
    <cellStyle name="Output 2 3 8 2" xfId="3047" xr:uid="{00000000-0005-0000-0000-0000010C0000}"/>
    <cellStyle name="Output 2 3 8 3" xfId="3048" xr:uid="{00000000-0005-0000-0000-0000020C0000}"/>
    <cellStyle name="Output 2 3 8 4" xfId="3049" xr:uid="{00000000-0005-0000-0000-0000030C0000}"/>
    <cellStyle name="Output 2 3 8 5" xfId="3050" xr:uid="{00000000-0005-0000-0000-0000040C0000}"/>
    <cellStyle name="Output 2 3 9" xfId="3051" xr:uid="{00000000-0005-0000-0000-0000050C0000}"/>
    <cellStyle name="Output 2 3 9 2" xfId="3052" xr:uid="{00000000-0005-0000-0000-0000060C0000}"/>
    <cellStyle name="Output 2 3 9 3" xfId="3053" xr:uid="{00000000-0005-0000-0000-0000070C0000}"/>
    <cellStyle name="Output 2 3 9 4" xfId="3054" xr:uid="{00000000-0005-0000-0000-0000080C0000}"/>
    <cellStyle name="Output 2 3 9 5" xfId="3055" xr:uid="{00000000-0005-0000-0000-0000090C0000}"/>
    <cellStyle name="Output 2 4" xfId="3056" xr:uid="{00000000-0005-0000-0000-00000A0C0000}"/>
    <cellStyle name="Output 2 4 10" xfId="3057" xr:uid="{00000000-0005-0000-0000-00000B0C0000}"/>
    <cellStyle name="Output 2 4 10 2" xfId="3058" xr:uid="{00000000-0005-0000-0000-00000C0C0000}"/>
    <cellStyle name="Output 2 4 10 3" xfId="3059" xr:uid="{00000000-0005-0000-0000-00000D0C0000}"/>
    <cellStyle name="Output 2 4 10 4" xfId="3060" xr:uid="{00000000-0005-0000-0000-00000E0C0000}"/>
    <cellStyle name="Output 2 4 10 5" xfId="3061" xr:uid="{00000000-0005-0000-0000-00000F0C0000}"/>
    <cellStyle name="Output 2 4 11" xfId="3062" xr:uid="{00000000-0005-0000-0000-0000100C0000}"/>
    <cellStyle name="Output 2 4 11 2" xfId="3063" xr:uid="{00000000-0005-0000-0000-0000110C0000}"/>
    <cellStyle name="Output 2 4 11 3" xfId="3064" xr:uid="{00000000-0005-0000-0000-0000120C0000}"/>
    <cellStyle name="Output 2 4 11 4" xfId="3065" xr:uid="{00000000-0005-0000-0000-0000130C0000}"/>
    <cellStyle name="Output 2 4 11 5" xfId="3066" xr:uid="{00000000-0005-0000-0000-0000140C0000}"/>
    <cellStyle name="Output 2 4 12" xfId="3067" xr:uid="{00000000-0005-0000-0000-0000150C0000}"/>
    <cellStyle name="Output 2 4 12 2" xfId="3068" xr:uid="{00000000-0005-0000-0000-0000160C0000}"/>
    <cellStyle name="Output 2 4 12 3" xfId="3069" xr:uid="{00000000-0005-0000-0000-0000170C0000}"/>
    <cellStyle name="Output 2 4 12 4" xfId="3070" xr:uid="{00000000-0005-0000-0000-0000180C0000}"/>
    <cellStyle name="Output 2 4 12 5" xfId="3071" xr:uid="{00000000-0005-0000-0000-0000190C0000}"/>
    <cellStyle name="Output 2 4 13" xfId="3072" xr:uid="{00000000-0005-0000-0000-00001A0C0000}"/>
    <cellStyle name="Output 2 4 13 2" xfId="3073" xr:uid="{00000000-0005-0000-0000-00001B0C0000}"/>
    <cellStyle name="Output 2 4 13 3" xfId="3074" xr:uid="{00000000-0005-0000-0000-00001C0C0000}"/>
    <cellStyle name="Output 2 4 13 4" xfId="3075" xr:uid="{00000000-0005-0000-0000-00001D0C0000}"/>
    <cellStyle name="Output 2 4 13 5" xfId="3076" xr:uid="{00000000-0005-0000-0000-00001E0C0000}"/>
    <cellStyle name="Output 2 4 14" xfId="3077" xr:uid="{00000000-0005-0000-0000-00001F0C0000}"/>
    <cellStyle name="Output 2 4 14 2" xfId="3078" xr:uid="{00000000-0005-0000-0000-0000200C0000}"/>
    <cellStyle name="Output 2 4 14 3" xfId="3079" xr:uid="{00000000-0005-0000-0000-0000210C0000}"/>
    <cellStyle name="Output 2 4 14 4" xfId="3080" xr:uid="{00000000-0005-0000-0000-0000220C0000}"/>
    <cellStyle name="Output 2 4 15" xfId="3081" xr:uid="{00000000-0005-0000-0000-0000230C0000}"/>
    <cellStyle name="Output 2 4 15 2" xfId="3082" xr:uid="{00000000-0005-0000-0000-0000240C0000}"/>
    <cellStyle name="Output 2 4 15 3" xfId="3083" xr:uid="{00000000-0005-0000-0000-0000250C0000}"/>
    <cellStyle name="Output 2 4 15 4" xfId="3084" xr:uid="{00000000-0005-0000-0000-0000260C0000}"/>
    <cellStyle name="Output 2 4 16" xfId="3085" xr:uid="{00000000-0005-0000-0000-0000270C0000}"/>
    <cellStyle name="Output 2 4 16 2" xfId="3086" xr:uid="{00000000-0005-0000-0000-0000280C0000}"/>
    <cellStyle name="Output 2 4 16 3" xfId="3087" xr:uid="{00000000-0005-0000-0000-0000290C0000}"/>
    <cellStyle name="Output 2 4 16 4" xfId="3088" xr:uid="{00000000-0005-0000-0000-00002A0C0000}"/>
    <cellStyle name="Output 2 4 17" xfId="3089" xr:uid="{00000000-0005-0000-0000-00002B0C0000}"/>
    <cellStyle name="Output 2 4 2" xfId="3090" xr:uid="{00000000-0005-0000-0000-00002C0C0000}"/>
    <cellStyle name="Output 2 4 2 2" xfId="3091" xr:uid="{00000000-0005-0000-0000-00002D0C0000}"/>
    <cellStyle name="Output 2 4 2 3" xfId="3092" xr:uid="{00000000-0005-0000-0000-00002E0C0000}"/>
    <cellStyle name="Output 2 4 2 4" xfId="3093" xr:uid="{00000000-0005-0000-0000-00002F0C0000}"/>
    <cellStyle name="Output 2 4 2 5" xfId="3094" xr:uid="{00000000-0005-0000-0000-0000300C0000}"/>
    <cellStyle name="Output 2 4 3" xfId="3095" xr:uid="{00000000-0005-0000-0000-0000310C0000}"/>
    <cellStyle name="Output 2 4 3 2" xfId="3096" xr:uid="{00000000-0005-0000-0000-0000320C0000}"/>
    <cellStyle name="Output 2 4 3 3" xfId="3097" xr:uid="{00000000-0005-0000-0000-0000330C0000}"/>
    <cellStyle name="Output 2 4 3 4" xfId="3098" xr:uid="{00000000-0005-0000-0000-0000340C0000}"/>
    <cellStyle name="Output 2 4 3 5" xfId="3099" xr:uid="{00000000-0005-0000-0000-0000350C0000}"/>
    <cellStyle name="Output 2 4 4" xfId="3100" xr:uid="{00000000-0005-0000-0000-0000360C0000}"/>
    <cellStyle name="Output 2 4 4 2" xfId="3101" xr:uid="{00000000-0005-0000-0000-0000370C0000}"/>
    <cellStyle name="Output 2 4 4 3" xfId="3102" xr:uid="{00000000-0005-0000-0000-0000380C0000}"/>
    <cellStyle name="Output 2 4 4 4" xfId="3103" xr:uid="{00000000-0005-0000-0000-0000390C0000}"/>
    <cellStyle name="Output 2 4 4 5" xfId="3104" xr:uid="{00000000-0005-0000-0000-00003A0C0000}"/>
    <cellStyle name="Output 2 4 5" xfId="3105" xr:uid="{00000000-0005-0000-0000-00003B0C0000}"/>
    <cellStyle name="Output 2 4 5 2" xfId="3106" xr:uid="{00000000-0005-0000-0000-00003C0C0000}"/>
    <cellStyle name="Output 2 4 5 3" xfId="3107" xr:uid="{00000000-0005-0000-0000-00003D0C0000}"/>
    <cellStyle name="Output 2 4 5 4" xfId="3108" xr:uid="{00000000-0005-0000-0000-00003E0C0000}"/>
    <cellStyle name="Output 2 4 5 5" xfId="3109" xr:uid="{00000000-0005-0000-0000-00003F0C0000}"/>
    <cellStyle name="Output 2 4 6" xfId="3110" xr:uid="{00000000-0005-0000-0000-0000400C0000}"/>
    <cellStyle name="Output 2 4 6 2" xfId="3111" xr:uid="{00000000-0005-0000-0000-0000410C0000}"/>
    <cellStyle name="Output 2 4 6 3" xfId="3112" xr:uid="{00000000-0005-0000-0000-0000420C0000}"/>
    <cellStyle name="Output 2 4 6 4" xfId="3113" xr:uid="{00000000-0005-0000-0000-0000430C0000}"/>
    <cellStyle name="Output 2 4 6 5" xfId="3114" xr:uid="{00000000-0005-0000-0000-0000440C0000}"/>
    <cellStyle name="Output 2 4 7" xfId="3115" xr:uid="{00000000-0005-0000-0000-0000450C0000}"/>
    <cellStyle name="Output 2 4 7 2" xfId="3116" xr:uid="{00000000-0005-0000-0000-0000460C0000}"/>
    <cellStyle name="Output 2 4 7 3" xfId="3117" xr:uid="{00000000-0005-0000-0000-0000470C0000}"/>
    <cellStyle name="Output 2 4 7 4" xfId="3118" xr:uid="{00000000-0005-0000-0000-0000480C0000}"/>
    <cellStyle name="Output 2 4 7 5" xfId="3119" xr:uid="{00000000-0005-0000-0000-0000490C0000}"/>
    <cellStyle name="Output 2 4 8" xfId="3120" xr:uid="{00000000-0005-0000-0000-00004A0C0000}"/>
    <cellStyle name="Output 2 4 8 2" xfId="3121" xr:uid="{00000000-0005-0000-0000-00004B0C0000}"/>
    <cellStyle name="Output 2 4 8 3" xfId="3122" xr:uid="{00000000-0005-0000-0000-00004C0C0000}"/>
    <cellStyle name="Output 2 4 8 4" xfId="3123" xr:uid="{00000000-0005-0000-0000-00004D0C0000}"/>
    <cellStyle name="Output 2 4 8 5" xfId="3124" xr:uid="{00000000-0005-0000-0000-00004E0C0000}"/>
    <cellStyle name="Output 2 4 9" xfId="3125" xr:uid="{00000000-0005-0000-0000-00004F0C0000}"/>
    <cellStyle name="Output 2 4 9 2" xfId="3126" xr:uid="{00000000-0005-0000-0000-0000500C0000}"/>
    <cellStyle name="Output 2 4 9 3" xfId="3127" xr:uid="{00000000-0005-0000-0000-0000510C0000}"/>
    <cellStyle name="Output 2 4 9 4" xfId="3128" xr:uid="{00000000-0005-0000-0000-0000520C0000}"/>
    <cellStyle name="Output 2 4 9 5" xfId="3129" xr:uid="{00000000-0005-0000-0000-0000530C0000}"/>
    <cellStyle name="Output 2 5" xfId="3130" xr:uid="{00000000-0005-0000-0000-0000540C0000}"/>
    <cellStyle name="Output 2 5 10" xfId="3131" xr:uid="{00000000-0005-0000-0000-0000550C0000}"/>
    <cellStyle name="Output 2 5 10 2" xfId="3132" xr:uid="{00000000-0005-0000-0000-0000560C0000}"/>
    <cellStyle name="Output 2 5 10 3" xfId="3133" xr:uid="{00000000-0005-0000-0000-0000570C0000}"/>
    <cellStyle name="Output 2 5 10 4" xfId="3134" xr:uid="{00000000-0005-0000-0000-0000580C0000}"/>
    <cellStyle name="Output 2 5 10 5" xfId="3135" xr:uid="{00000000-0005-0000-0000-0000590C0000}"/>
    <cellStyle name="Output 2 5 11" xfId="3136" xr:uid="{00000000-0005-0000-0000-00005A0C0000}"/>
    <cellStyle name="Output 2 5 11 2" xfId="3137" xr:uid="{00000000-0005-0000-0000-00005B0C0000}"/>
    <cellStyle name="Output 2 5 11 3" xfId="3138" xr:uid="{00000000-0005-0000-0000-00005C0C0000}"/>
    <cellStyle name="Output 2 5 11 4" xfId="3139" xr:uid="{00000000-0005-0000-0000-00005D0C0000}"/>
    <cellStyle name="Output 2 5 11 5" xfId="3140" xr:uid="{00000000-0005-0000-0000-00005E0C0000}"/>
    <cellStyle name="Output 2 5 12" xfId="3141" xr:uid="{00000000-0005-0000-0000-00005F0C0000}"/>
    <cellStyle name="Output 2 5 12 2" xfId="3142" xr:uid="{00000000-0005-0000-0000-0000600C0000}"/>
    <cellStyle name="Output 2 5 12 3" xfId="3143" xr:uid="{00000000-0005-0000-0000-0000610C0000}"/>
    <cellStyle name="Output 2 5 12 4" xfId="3144" xr:uid="{00000000-0005-0000-0000-0000620C0000}"/>
    <cellStyle name="Output 2 5 12 5" xfId="3145" xr:uid="{00000000-0005-0000-0000-0000630C0000}"/>
    <cellStyle name="Output 2 5 13" xfId="3146" xr:uid="{00000000-0005-0000-0000-0000640C0000}"/>
    <cellStyle name="Output 2 5 13 2" xfId="3147" xr:uid="{00000000-0005-0000-0000-0000650C0000}"/>
    <cellStyle name="Output 2 5 13 3" xfId="3148" xr:uid="{00000000-0005-0000-0000-0000660C0000}"/>
    <cellStyle name="Output 2 5 13 4" xfId="3149" xr:uid="{00000000-0005-0000-0000-0000670C0000}"/>
    <cellStyle name="Output 2 5 13 5" xfId="3150" xr:uid="{00000000-0005-0000-0000-0000680C0000}"/>
    <cellStyle name="Output 2 5 14" xfId="3151" xr:uid="{00000000-0005-0000-0000-0000690C0000}"/>
    <cellStyle name="Output 2 5 14 2" xfId="3152" xr:uid="{00000000-0005-0000-0000-00006A0C0000}"/>
    <cellStyle name="Output 2 5 14 3" xfId="3153" xr:uid="{00000000-0005-0000-0000-00006B0C0000}"/>
    <cellStyle name="Output 2 5 14 4" xfId="3154" xr:uid="{00000000-0005-0000-0000-00006C0C0000}"/>
    <cellStyle name="Output 2 5 15" xfId="3155" xr:uid="{00000000-0005-0000-0000-00006D0C0000}"/>
    <cellStyle name="Output 2 5 15 2" xfId="3156" xr:uid="{00000000-0005-0000-0000-00006E0C0000}"/>
    <cellStyle name="Output 2 5 15 3" xfId="3157" xr:uid="{00000000-0005-0000-0000-00006F0C0000}"/>
    <cellStyle name="Output 2 5 15 4" xfId="3158" xr:uid="{00000000-0005-0000-0000-0000700C0000}"/>
    <cellStyle name="Output 2 5 16" xfId="3159" xr:uid="{00000000-0005-0000-0000-0000710C0000}"/>
    <cellStyle name="Output 2 5 16 2" xfId="3160" xr:uid="{00000000-0005-0000-0000-0000720C0000}"/>
    <cellStyle name="Output 2 5 16 3" xfId="3161" xr:uid="{00000000-0005-0000-0000-0000730C0000}"/>
    <cellStyle name="Output 2 5 16 4" xfId="3162" xr:uid="{00000000-0005-0000-0000-0000740C0000}"/>
    <cellStyle name="Output 2 5 17" xfId="3163" xr:uid="{00000000-0005-0000-0000-0000750C0000}"/>
    <cellStyle name="Output 2 5 2" xfId="3164" xr:uid="{00000000-0005-0000-0000-0000760C0000}"/>
    <cellStyle name="Output 2 5 2 2" xfId="3165" xr:uid="{00000000-0005-0000-0000-0000770C0000}"/>
    <cellStyle name="Output 2 5 2 3" xfId="3166" xr:uid="{00000000-0005-0000-0000-0000780C0000}"/>
    <cellStyle name="Output 2 5 2 4" xfId="3167" xr:uid="{00000000-0005-0000-0000-0000790C0000}"/>
    <cellStyle name="Output 2 5 2 5" xfId="3168" xr:uid="{00000000-0005-0000-0000-00007A0C0000}"/>
    <cellStyle name="Output 2 5 3" xfId="3169" xr:uid="{00000000-0005-0000-0000-00007B0C0000}"/>
    <cellStyle name="Output 2 5 3 2" xfId="3170" xr:uid="{00000000-0005-0000-0000-00007C0C0000}"/>
    <cellStyle name="Output 2 5 3 3" xfId="3171" xr:uid="{00000000-0005-0000-0000-00007D0C0000}"/>
    <cellStyle name="Output 2 5 3 4" xfId="3172" xr:uid="{00000000-0005-0000-0000-00007E0C0000}"/>
    <cellStyle name="Output 2 5 3 5" xfId="3173" xr:uid="{00000000-0005-0000-0000-00007F0C0000}"/>
    <cellStyle name="Output 2 5 4" xfId="3174" xr:uid="{00000000-0005-0000-0000-0000800C0000}"/>
    <cellStyle name="Output 2 5 4 2" xfId="3175" xr:uid="{00000000-0005-0000-0000-0000810C0000}"/>
    <cellStyle name="Output 2 5 4 3" xfId="3176" xr:uid="{00000000-0005-0000-0000-0000820C0000}"/>
    <cellStyle name="Output 2 5 4 4" xfId="3177" xr:uid="{00000000-0005-0000-0000-0000830C0000}"/>
    <cellStyle name="Output 2 5 4 5" xfId="3178" xr:uid="{00000000-0005-0000-0000-0000840C0000}"/>
    <cellStyle name="Output 2 5 5" xfId="3179" xr:uid="{00000000-0005-0000-0000-0000850C0000}"/>
    <cellStyle name="Output 2 5 5 2" xfId="3180" xr:uid="{00000000-0005-0000-0000-0000860C0000}"/>
    <cellStyle name="Output 2 5 5 3" xfId="3181" xr:uid="{00000000-0005-0000-0000-0000870C0000}"/>
    <cellStyle name="Output 2 5 5 4" xfId="3182" xr:uid="{00000000-0005-0000-0000-0000880C0000}"/>
    <cellStyle name="Output 2 5 5 5" xfId="3183" xr:uid="{00000000-0005-0000-0000-0000890C0000}"/>
    <cellStyle name="Output 2 5 6" xfId="3184" xr:uid="{00000000-0005-0000-0000-00008A0C0000}"/>
    <cellStyle name="Output 2 5 6 2" xfId="3185" xr:uid="{00000000-0005-0000-0000-00008B0C0000}"/>
    <cellStyle name="Output 2 5 6 3" xfId="3186" xr:uid="{00000000-0005-0000-0000-00008C0C0000}"/>
    <cellStyle name="Output 2 5 6 4" xfId="3187" xr:uid="{00000000-0005-0000-0000-00008D0C0000}"/>
    <cellStyle name="Output 2 5 6 5" xfId="3188" xr:uid="{00000000-0005-0000-0000-00008E0C0000}"/>
    <cellStyle name="Output 2 5 7" xfId="3189" xr:uid="{00000000-0005-0000-0000-00008F0C0000}"/>
    <cellStyle name="Output 2 5 7 2" xfId="3190" xr:uid="{00000000-0005-0000-0000-0000900C0000}"/>
    <cellStyle name="Output 2 5 7 3" xfId="3191" xr:uid="{00000000-0005-0000-0000-0000910C0000}"/>
    <cellStyle name="Output 2 5 7 4" xfId="3192" xr:uid="{00000000-0005-0000-0000-0000920C0000}"/>
    <cellStyle name="Output 2 5 7 5" xfId="3193" xr:uid="{00000000-0005-0000-0000-0000930C0000}"/>
    <cellStyle name="Output 2 5 8" xfId="3194" xr:uid="{00000000-0005-0000-0000-0000940C0000}"/>
    <cellStyle name="Output 2 5 8 2" xfId="3195" xr:uid="{00000000-0005-0000-0000-0000950C0000}"/>
    <cellStyle name="Output 2 5 8 3" xfId="3196" xr:uid="{00000000-0005-0000-0000-0000960C0000}"/>
    <cellStyle name="Output 2 5 8 4" xfId="3197" xr:uid="{00000000-0005-0000-0000-0000970C0000}"/>
    <cellStyle name="Output 2 5 8 5" xfId="3198" xr:uid="{00000000-0005-0000-0000-0000980C0000}"/>
    <cellStyle name="Output 2 5 9" xfId="3199" xr:uid="{00000000-0005-0000-0000-0000990C0000}"/>
    <cellStyle name="Output 2 5 9 2" xfId="3200" xr:uid="{00000000-0005-0000-0000-00009A0C0000}"/>
    <cellStyle name="Output 2 5 9 3" xfId="3201" xr:uid="{00000000-0005-0000-0000-00009B0C0000}"/>
    <cellStyle name="Output 2 5 9 4" xfId="3202" xr:uid="{00000000-0005-0000-0000-00009C0C0000}"/>
    <cellStyle name="Output 2 5 9 5" xfId="3203" xr:uid="{00000000-0005-0000-0000-00009D0C0000}"/>
    <cellStyle name="Output 2 6" xfId="3204" xr:uid="{00000000-0005-0000-0000-00009E0C0000}"/>
    <cellStyle name="Output 2 6 10" xfId="3205" xr:uid="{00000000-0005-0000-0000-00009F0C0000}"/>
    <cellStyle name="Output 2 6 10 2" xfId="3206" xr:uid="{00000000-0005-0000-0000-0000A00C0000}"/>
    <cellStyle name="Output 2 6 10 3" xfId="3207" xr:uid="{00000000-0005-0000-0000-0000A10C0000}"/>
    <cellStyle name="Output 2 6 10 4" xfId="3208" xr:uid="{00000000-0005-0000-0000-0000A20C0000}"/>
    <cellStyle name="Output 2 6 10 5" xfId="3209" xr:uid="{00000000-0005-0000-0000-0000A30C0000}"/>
    <cellStyle name="Output 2 6 11" xfId="3210" xr:uid="{00000000-0005-0000-0000-0000A40C0000}"/>
    <cellStyle name="Output 2 6 11 2" xfId="3211" xr:uid="{00000000-0005-0000-0000-0000A50C0000}"/>
    <cellStyle name="Output 2 6 11 3" xfId="3212" xr:uid="{00000000-0005-0000-0000-0000A60C0000}"/>
    <cellStyle name="Output 2 6 11 4" xfId="3213" xr:uid="{00000000-0005-0000-0000-0000A70C0000}"/>
    <cellStyle name="Output 2 6 11 5" xfId="3214" xr:uid="{00000000-0005-0000-0000-0000A80C0000}"/>
    <cellStyle name="Output 2 6 12" xfId="3215" xr:uid="{00000000-0005-0000-0000-0000A90C0000}"/>
    <cellStyle name="Output 2 6 12 2" xfId="3216" xr:uid="{00000000-0005-0000-0000-0000AA0C0000}"/>
    <cellStyle name="Output 2 6 12 3" xfId="3217" xr:uid="{00000000-0005-0000-0000-0000AB0C0000}"/>
    <cellStyle name="Output 2 6 12 4" xfId="3218" xr:uid="{00000000-0005-0000-0000-0000AC0C0000}"/>
    <cellStyle name="Output 2 6 12 5" xfId="3219" xr:uid="{00000000-0005-0000-0000-0000AD0C0000}"/>
    <cellStyle name="Output 2 6 13" xfId="3220" xr:uid="{00000000-0005-0000-0000-0000AE0C0000}"/>
    <cellStyle name="Output 2 6 13 2" xfId="3221" xr:uid="{00000000-0005-0000-0000-0000AF0C0000}"/>
    <cellStyle name="Output 2 6 13 3" xfId="3222" xr:uid="{00000000-0005-0000-0000-0000B00C0000}"/>
    <cellStyle name="Output 2 6 13 4" xfId="3223" xr:uid="{00000000-0005-0000-0000-0000B10C0000}"/>
    <cellStyle name="Output 2 6 13 5" xfId="3224" xr:uid="{00000000-0005-0000-0000-0000B20C0000}"/>
    <cellStyle name="Output 2 6 14" xfId="3225" xr:uid="{00000000-0005-0000-0000-0000B30C0000}"/>
    <cellStyle name="Output 2 6 14 2" xfId="3226" xr:uid="{00000000-0005-0000-0000-0000B40C0000}"/>
    <cellStyle name="Output 2 6 14 3" xfId="3227" xr:uid="{00000000-0005-0000-0000-0000B50C0000}"/>
    <cellStyle name="Output 2 6 14 4" xfId="3228" xr:uid="{00000000-0005-0000-0000-0000B60C0000}"/>
    <cellStyle name="Output 2 6 14 5" xfId="3229" xr:uid="{00000000-0005-0000-0000-0000B70C0000}"/>
    <cellStyle name="Output 2 6 15" xfId="3230" xr:uid="{00000000-0005-0000-0000-0000B80C0000}"/>
    <cellStyle name="Output 2 6 15 2" xfId="3231" xr:uid="{00000000-0005-0000-0000-0000B90C0000}"/>
    <cellStyle name="Output 2 6 15 3" xfId="3232" xr:uid="{00000000-0005-0000-0000-0000BA0C0000}"/>
    <cellStyle name="Output 2 6 15 4" xfId="3233" xr:uid="{00000000-0005-0000-0000-0000BB0C0000}"/>
    <cellStyle name="Output 2 6 15 5" xfId="3234" xr:uid="{00000000-0005-0000-0000-0000BC0C0000}"/>
    <cellStyle name="Output 2 6 16" xfId="3235" xr:uid="{00000000-0005-0000-0000-0000BD0C0000}"/>
    <cellStyle name="Output 2 6 16 2" xfId="3236" xr:uid="{00000000-0005-0000-0000-0000BE0C0000}"/>
    <cellStyle name="Output 2 6 16 3" xfId="3237" xr:uid="{00000000-0005-0000-0000-0000BF0C0000}"/>
    <cellStyle name="Output 2 6 16 4" xfId="3238" xr:uid="{00000000-0005-0000-0000-0000C00C0000}"/>
    <cellStyle name="Output 2 6 16 5" xfId="3239" xr:uid="{00000000-0005-0000-0000-0000C10C0000}"/>
    <cellStyle name="Output 2 6 17" xfId="3240" xr:uid="{00000000-0005-0000-0000-0000C20C0000}"/>
    <cellStyle name="Output 2 6 17 2" xfId="3241" xr:uid="{00000000-0005-0000-0000-0000C30C0000}"/>
    <cellStyle name="Output 2 6 17 3" xfId="3242" xr:uid="{00000000-0005-0000-0000-0000C40C0000}"/>
    <cellStyle name="Output 2 6 17 4" xfId="3243" xr:uid="{00000000-0005-0000-0000-0000C50C0000}"/>
    <cellStyle name="Output 2 6 17 5" xfId="3244" xr:uid="{00000000-0005-0000-0000-0000C60C0000}"/>
    <cellStyle name="Output 2 6 18" xfId="3245" xr:uid="{00000000-0005-0000-0000-0000C70C0000}"/>
    <cellStyle name="Output 2 6 18 2" xfId="3246" xr:uid="{00000000-0005-0000-0000-0000C80C0000}"/>
    <cellStyle name="Output 2 6 18 3" xfId="3247" xr:uid="{00000000-0005-0000-0000-0000C90C0000}"/>
    <cellStyle name="Output 2 6 18 4" xfId="3248" xr:uid="{00000000-0005-0000-0000-0000CA0C0000}"/>
    <cellStyle name="Output 2 6 18 5" xfId="3249" xr:uid="{00000000-0005-0000-0000-0000CB0C0000}"/>
    <cellStyle name="Output 2 6 19" xfId="3250" xr:uid="{00000000-0005-0000-0000-0000CC0C0000}"/>
    <cellStyle name="Output 2 6 19 2" xfId="3251" xr:uid="{00000000-0005-0000-0000-0000CD0C0000}"/>
    <cellStyle name="Output 2 6 19 3" xfId="3252" xr:uid="{00000000-0005-0000-0000-0000CE0C0000}"/>
    <cellStyle name="Output 2 6 19 4" xfId="3253" xr:uid="{00000000-0005-0000-0000-0000CF0C0000}"/>
    <cellStyle name="Output 2 6 19 5" xfId="3254" xr:uid="{00000000-0005-0000-0000-0000D00C0000}"/>
    <cellStyle name="Output 2 6 2" xfId="3255" xr:uid="{00000000-0005-0000-0000-0000D10C0000}"/>
    <cellStyle name="Output 2 6 2 2" xfId="3256" xr:uid="{00000000-0005-0000-0000-0000D20C0000}"/>
    <cellStyle name="Output 2 6 2 3" xfId="3257" xr:uid="{00000000-0005-0000-0000-0000D30C0000}"/>
    <cellStyle name="Output 2 6 2 4" xfId="3258" xr:uid="{00000000-0005-0000-0000-0000D40C0000}"/>
    <cellStyle name="Output 2 6 2 5" xfId="3259" xr:uid="{00000000-0005-0000-0000-0000D50C0000}"/>
    <cellStyle name="Output 2 6 20" xfId="3260" xr:uid="{00000000-0005-0000-0000-0000D60C0000}"/>
    <cellStyle name="Output 2 6 20 2" xfId="3261" xr:uid="{00000000-0005-0000-0000-0000D70C0000}"/>
    <cellStyle name="Output 2 6 20 3" xfId="3262" xr:uid="{00000000-0005-0000-0000-0000D80C0000}"/>
    <cellStyle name="Output 2 6 20 4" xfId="3263" xr:uid="{00000000-0005-0000-0000-0000D90C0000}"/>
    <cellStyle name="Output 2 6 20 5" xfId="3264" xr:uid="{00000000-0005-0000-0000-0000DA0C0000}"/>
    <cellStyle name="Output 2 6 21" xfId="3265" xr:uid="{00000000-0005-0000-0000-0000DB0C0000}"/>
    <cellStyle name="Output 2 6 21 2" xfId="3266" xr:uid="{00000000-0005-0000-0000-0000DC0C0000}"/>
    <cellStyle name="Output 2 6 21 3" xfId="3267" xr:uid="{00000000-0005-0000-0000-0000DD0C0000}"/>
    <cellStyle name="Output 2 6 21 4" xfId="3268" xr:uid="{00000000-0005-0000-0000-0000DE0C0000}"/>
    <cellStyle name="Output 2 6 21 5" xfId="3269" xr:uid="{00000000-0005-0000-0000-0000DF0C0000}"/>
    <cellStyle name="Output 2 6 22" xfId="3270" xr:uid="{00000000-0005-0000-0000-0000E00C0000}"/>
    <cellStyle name="Output 2 6 22 2" xfId="3271" xr:uid="{00000000-0005-0000-0000-0000E10C0000}"/>
    <cellStyle name="Output 2 6 22 3" xfId="3272" xr:uid="{00000000-0005-0000-0000-0000E20C0000}"/>
    <cellStyle name="Output 2 6 22 4" xfId="3273" xr:uid="{00000000-0005-0000-0000-0000E30C0000}"/>
    <cellStyle name="Output 2 6 23" xfId="3274" xr:uid="{00000000-0005-0000-0000-0000E40C0000}"/>
    <cellStyle name="Output 2 6 23 2" xfId="3275" xr:uid="{00000000-0005-0000-0000-0000E50C0000}"/>
    <cellStyle name="Output 2 6 23 3" xfId="3276" xr:uid="{00000000-0005-0000-0000-0000E60C0000}"/>
    <cellStyle name="Output 2 6 23 4" xfId="3277" xr:uid="{00000000-0005-0000-0000-0000E70C0000}"/>
    <cellStyle name="Output 2 6 24" xfId="3278" xr:uid="{00000000-0005-0000-0000-0000E80C0000}"/>
    <cellStyle name="Output 2 6 24 2" xfId="3279" xr:uid="{00000000-0005-0000-0000-0000E90C0000}"/>
    <cellStyle name="Output 2 6 24 3" xfId="3280" xr:uid="{00000000-0005-0000-0000-0000EA0C0000}"/>
    <cellStyle name="Output 2 6 24 4" xfId="3281" xr:uid="{00000000-0005-0000-0000-0000EB0C0000}"/>
    <cellStyle name="Output 2 6 25" xfId="3282" xr:uid="{00000000-0005-0000-0000-0000EC0C0000}"/>
    <cellStyle name="Output 2 6 25 2" xfId="3283" xr:uid="{00000000-0005-0000-0000-0000ED0C0000}"/>
    <cellStyle name="Output 2 6 25 3" xfId="3284" xr:uid="{00000000-0005-0000-0000-0000EE0C0000}"/>
    <cellStyle name="Output 2 6 25 4" xfId="3285" xr:uid="{00000000-0005-0000-0000-0000EF0C0000}"/>
    <cellStyle name="Output 2 6 3" xfId="3286" xr:uid="{00000000-0005-0000-0000-0000F00C0000}"/>
    <cellStyle name="Output 2 6 3 2" xfId="3287" xr:uid="{00000000-0005-0000-0000-0000F10C0000}"/>
    <cellStyle name="Output 2 6 3 3" xfId="3288" xr:uid="{00000000-0005-0000-0000-0000F20C0000}"/>
    <cellStyle name="Output 2 6 3 4" xfId="3289" xr:uid="{00000000-0005-0000-0000-0000F30C0000}"/>
    <cellStyle name="Output 2 6 3 5" xfId="3290" xr:uid="{00000000-0005-0000-0000-0000F40C0000}"/>
    <cellStyle name="Output 2 6 4" xfId="3291" xr:uid="{00000000-0005-0000-0000-0000F50C0000}"/>
    <cellStyle name="Output 2 6 4 2" xfId="3292" xr:uid="{00000000-0005-0000-0000-0000F60C0000}"/>
    <cellStyle name="Output 2 6 4 3" xfId="3293" xr:uid="{00000000-0005-0000-0000-0000F70C0000}"/>
    <cellStyle name="Output 2 6 4 4" xfId="3294" xr:uid="{00000000-0005-0000-0000-0000F80C0000}"/>
    <cellStyle name="Output 2 6 4 5" xfId="3295" xr:uid="{00000000-0005-0000-0000-0000F90C0000}"/>
    <cellStyle name="Output 2 6 5" xfId="3296" xr:uid="{00000000-0005-0000-0000-0000FA0C0000}"/>
    <cellStyle name="Output 2 6 5 2" xfId="3297" xr:uid="{00000000-0005-0000-0000-0000FB0C0000}"/>
    <cellStyle name="Output 2 6 5 3" xfId="3298" xr:uid="{00000000-0005-0000-0000-0000FC0C0000}"/>
    <cellStyle name="Output 2 6 5 4" xfId="3299" xr:uid="{00000000-0005-0000-0000-0000FD0C0000}"/>
    <cellStyle name="Output 2 6 5 5" xfId="3300" xr:uid="{00000000-0005-0000-0000-0000FE0C0000}"/>
    <cellStyle name="Output 2 6 6" xfId="3301" xr:uid="{00000000-0005-0000-0000-0000FF0C0000}"/>
    <cellStyle name="Output 2 6 6 2" xfId="3302" xr:uid="{00000000-0005-0000-0000-0000000D0000}"/>
    <cellStyle name="Output 2 6 6 3" xfId="3303" xr:uid="{00000000-0005-0000-0000-0000010D0000}"/>
    <cellStyle name="Output 2 6 6 4" xfId="3304" xr:uid="{00000000-0005-0000-0000-0000020D0000}"/>
    <cellStyle name="Output 2 6 6 5" xfId="3305" xr:uid="{00000000-0005-0000-0000-0000030D0000}"/>
    <cellStyle name="Output 2 6 7" xfId="3306" xr:uid="{00000000-0005-0000-0000-0000040D0000}"/>
    <cellStyle name="Output 2 6 7 2" xfId="3307" xr:uid="{00000000-0005-0000-0000-0000050D0000}"/>
    <cellStyle name="Output 2 6 7 3" xfId="3308" xr:uid="{00000000-0005-0000-0000-0000060D0000}"/>
    <cellStyle name="Output 2 6 7 4" xfId="3309" xr:uid="{00000000-0005-0000-0000-0000070D0000}"/>
    <cellStyle name="Output 2 6 7 5" xfId="3310" xr:uid="{00000000-0005-0000-0000-0000080D0000}"/>
    <cellStyle name="Output 2 6 8" xfId="3311" xr:uid="{00000000-0005-0000-0000-0000090D0000}"/>
    <cellStyle name="Output 2 6 8 2" xfId="3312" xr:uid="{00000000-0005-0000-0000-00000A0D0000}"/>
    <cellStyle name="Output 2 6 8 3" xfId="3313" xr:uid="{00000000-0005-0000-0000-00000B0D0000}"/>
    <cellStyle name="Output 2 6 8 4" xfId="3314" xr:uid="{00000000-0005-0000-0000-00000C0D0000}"/>
    <cellStyle name="Output 2 6 8 5" xfId="3315" xr:uid="{00000000-0005-0000-0000-00000D0D0000}"/>
    <cellStyle name="Output 2 6 9" xfId="3316" xr:uid="{00000000-0005-0000-0000-00000E0D0000}"/>
    <cellStyle name="Output 2 6 9 2" xfId="3317" xr:uid="{00000000-0005-0000-0000-00000F0D0000}"/>
    <cellStyle name="Output 2 6 9 3" xfId="3318" xr:uid="{00000000-0005-0000-0000-0000100D0000}"/>
    <cellStyle name="Output 2 6 9 4" xfId="3319" xr:uid="{00000000-0005-0000-0000-0000110D0000}"/>
    <cellStyle name="Output 2 6 9 5" xfId="3320" xr:uid="{00000000-0005-0000-0000-0000120D0000}"/>
    <cellStyle name="Output 2 7" xfId="3321" xr:uid="{00000000-0005-0000-0000-0000130D0000}"/>
    <cellStyle name="Output 2 7 2" xfId="3322" xr:uid="{00000000-0005-0000-0000-0000140D0000}"/>
    <cellStyle name="Output 2 7 3" xfId="3323" xr:uid="{00000000-0005-0000-0000-0000150D0000}"/>
    <cellStyle name="Output 2 7 4" xfId="3324" xr:uid="{00000000-0005-0000-0000-0000160D0000}"/>
    <cellStyle name="Output 2 7 5" xfId="3325" xr:uid="{00000000-0005-0000-0000-0000170D0000}"/>
    <cellStyle name="Output 2 8" xfId="3326" xr:uid="{00000000-0005-0000-0000-0000180D0000}"/>
    <cellStyle name="Output 2 8 2" xfId="3327" xr:uid="{00000000-0005-0000-0000-0000190D0000}"/>
    <cellStyle name="Output 2 8 3" xfId="3328" xr:uid="{00000000-0005-0000-0000-00001A0D0000}"/>
    <cellStyle name="Output 2 8 4" xfId="3329" xr:uid="{00000000-0005-0000-0000-00001B0D0000}"/>
    <cellStyle name="Output 2 8 5" xfId="3330" xr:uid="{00000000-0005-0000-0000-00001C0D0000}"/>
    <cellStyle name="Output 2 9" xfId="3331" xr:uid="{00000000-0005-0000-0000-00001D0D0000}"/>
    <cellStyle name="Output 2 9 2" xfId="3332" xr:uid="{00000000-0005-0000-0000-00001E0D0000}"/>
    <cellStyle name="Output 2 9 3" xfId="3333" xr:uid="{00000000-0005-0000-0000-00001F0D0000}"/>
    <cellStyle name="Output 2 9 4" xfId="3334" xr:uid="{00000000-0005-0000-0000-0000200D0000}"/>
    <cellStyle name="Output 2 9 5" xfId="3335" xr:uid="{00000000-0005-0000-0000-0000210D0000}"/>
    <cellStyle name="Percent" xfId="2" builtinId="5"/>
    <cellStyle name="Percent 10" xfId="3336" xr:uid="{00000000-0005-0000-0000-0000230D0000}"/>
    <cellStyle name="Percent 17" xfId="3337" xr:uid="{00000000-0005-0000-0000-0000240D0000}"/>
    <cellStyle name="Percent 2" xfId="169" xr:uid="{00000000-0005-0000-0000-0000250D0000}"/>
    <cellStyle name="Percent 2 2" xfId="185" xr:uid="{00000000-0005-0000-0000-0000260D0000}"/>
    <cellStyle name="Percent 2 2 2" xfId="3338" xr:uid="{00000000-0005-0000-0000-0000270D0000}"/>
    <cellStyle name="Percent 2 2 3" xfId="3339" xr:uid="{00000000-0005-0000-0000-0000280D0000}"/>
    <cellStyle name="Percent 2 2 4" xfId="3340" xr:uid="{00000000-0005-0000-0000-0000290D0000}"/>
    <cellStyle name="Percent 2 2 4 2" xfId="3341" xr:uid="{00000000-0005-0000-0000-00002A0D0000}"/>
    <cellStyle name="Percent 2 2 5" xfId="3342" xr:uid="{00000000-0005-0000-0000-00002B0D0000}"/>
    <cellStyle name="Percent 2 2 6" xfId="3343" xr:uid="{00000000-0005-0000-0000-00002C0D0000}"/>
    <cellStyle name="Percent 2 3" xfId="3344" xr:uid="{00000000-0005-0000-0000-00002D0D0000}"/>
    <cellStyle name="Percent 2 3 2" xfId="3345" xr:uid="{00000000-0005-0000-0000-00002E0D0000}"/>
    <cellStyle name="Percent 2 4" xfId="3346" xr:uid="{00000000-0005-0000-0000-00002F0D0000}"/>
    <cellStyle name="Percent 2 4 2" xfId="3347" xr:uid="{00000000-0005-0000-0000-0000300D0000}"/>
    <cellStyle name="Percent 2 5" xfId="3348" xr:uid="{00000000-0005-0000-0000-0000310D0000}"/>
    <cellStyle name="Percent 2 6" xfId="3349" xr:uid="{00000000-0005-0000-0000-0000320D0000}"/>
    <cellStyle name="Percent 2 7" xfId="3350" xr:uid="{00000000-0005-0000-0000-0000330D0000}"/>
    <cellStyle name="Percent 3" xfId="170" xr:uid="{00000000-0005-0000-0000-0000340D0000}"/>
    <cellStyle name="Percent 3 2" xfId="205" xr:uid="{00000000-0005-0000-0000-0000350D0000}"/>
    <cellStyle name="Percent 3 2 2" xfId="3918" xr:uid="{00000000-0005-0000-0000-0000360D0000}"/>
    <cellStyle name="Percent 3 3" xfId="3351" xr:uid="{00000000-0005-0000-0000-0000370D0000}"/>
    <cellStyle name="Percent 3 4" xfId="3352" xr:uid="{00000000-0005-0000-0000-0000380D0000}"/>
    <cellStyle name="Percent 3 5" xfId="3353" xr:uid="{00000000-0005-0000-0000-0000390D0000}"/>
    <cellStyle name="Percent 4" xfId="206" xr:uid="{00000000-0005-0000-0000-00003A0D0000}"/>
    <cellStyle name="Percent 4 2" xfId="3354" xr:uid="{00000000-0005-0000-0000-00003B0D0000}"/>
    <cellStyle name="Percent 4 3" xfId="3355" xr:uid="{00000000-0005-0000-0000-00003C0D0000}"/>
    <cellStyle name="Percent 4 4" xfId="3356" xr:uid="{00000000-0005-0000-0000-00003D0D0000}"/>
    <cellStyle name="Percent 4 5" xfId="3357" xr:uid="{00000000-0005-0000-0000-00003E0D0000}"/>
    <cellStyle name="Percent 5" xfId="3358" xr:uid="{00000000-0005-0000-0000-00003F0D0000}"/>
    <cellStyle name="Percent 5 2" xfId="3359" xr:uid="{00000000-0005-0000-0000-0000400D0000}"/>
    <cellStyle name="Percent 5 3" xfId="3360" xr:uid="{00000000-0005-0000-0000-0000410D0000}"/>
    <cellStyle name="Percent 5 4" xfId="3361" xr:uid="{00000000-0005-0000-0000-0000420D0000}"/>
    <cellStyle name="Percent 6" xfId="3362" xr:uid="{00000000-0005-0000-0000-0000430D0000}"/>
    <cellStyle name="Percent 6 2" xfId="3363" xr:uid="{00000000-0005-0000-0000-0000440D0000}"/>
    <cellStyle name="Percent 6 3" xfId="3364" xr:uid="{00000000-0005-0000-0000-0000450D0000}"/>
    <cellStyle name="Percent 7" xfId="3365" xr:uid="{00000000-0005-0000-0000-0000460D0000}"/>
    <cellStyle name="Percent 7 2" xfId="3366" xr:uid="{00000000-0005-0000-0000-0000470D0000}"/>
    <cellStyle name="Percent 7 3" xfId="3367" xr:uid="{00000000-0005-0000-0000-0000480D0000}"/>
    <cellStyle name="Percent 7 4" xfId="3368" xr:uid="{00000000-0005-0000-0000-0000490D0000}"/>
    <cellStyle name="Percent 8" xfId="3369" xr:uid="{00000000-0005-0000-0000-00004A0D0000}"/>
    <cellStyle name="Percent 8 2" xfId="3370" xr:uid="{00000000-0005-0000-0000-00004B0D0000}"/>
    <cellStyle name="Percent 8 3" xfId="3371" xr:uid="{00000000-0005-0000-0000-00004C0D0000}"/>
    <cellStyle name="Percent 9" xfId="3372" xr:uid="{00000000-0005-0000-0000-00004D0D0000}"/>
    <cellStyle name="Percent 9 2" xfId="3373" xr:uid="{00000000-0005-0000-0000-00004E0D0000}"/>
    <cellStyle name="provisional PN158/97" xfId="171" xr:uid="{00000000-0005-0000-0000-00004F0D0000}"/>
    <cellStyle name="P嗴_x000c_〘 ńバ঒〘 " xfId="3374" xr:uid="{00000000-0005-0000-0000-0000500D0000}"/>
    <cellStyle name="P嗴_x000c_〘 ńバ঒〘  2" xfId="3375" xr:uid="{00000000-0005-0000-0000-0000510D0000}"/>
    <cellStyle name="P嗴_x000c_〘 ńバ঒〘 _Main Allocation Sheet" xfId="3376" xr:uid="{00000000-0005-0000-0000-0000520D0000}"/>
    <cellStyle name="Sheet Title" xfId="3377" xr:uid="{00000000-0005-0000-0000-0000530D0000}"/>
    <cellStyle name="Style 1" xfId="172" xr:uid="{00000000-0005-0000-0000-0000540D0000}"/>
    <cellStyle name="Style 1 2" xfId="207" xr:uid="{00000000-0005-0000-0000-0000550D0000}"/>
    <cellStyle name="Style 1 2 2" xfId="3378" xr:uid="{00000000-0005-0000-0000-0000560D0000}"/>
    <cellStyle name="Style 1 3" xfId="3379" xr:uid="{00000000-0005-0000-0000-0000570D0000}"/>
    <cellStyle name="Style 1_Main Allocation Sheet" xfId="3380" xr:uid="{00000000-0005-0000-0000-0000580D0000}"/>
    <cellStyle name="style1456487729786" xfId="182" xr:uid="{00000000-0005-0000-0000-0000590D0000}"/>
    <cellStyle name="style1456487878690" xfId="183" xr:uid="{00000000-0005-0000-0000-00005A0D0000}"/>
    <cellStyle name="sub" xfId="173" xr:uid="{00000000-0005-0000-0000-00005B0D0000}"/>
    <cellStyle name="table imported" xfId="174" xr:uid="{00000000-0005-0000-0000-00005C0D0000}"/>
    <cellStyle name="table sum" xfId="175" xr:uid="{00000000-0005-0000-0000-00005D0D0000}"/>
    <cellStyle name="table values" xfId="176" xr:uid="{00000000-0005-0000-0000-00005E0D0000}"/>
    <cellStyle name="Title 2" xfId="177" xr:uid="{00000000-0005-0000-0000-00005F0D0000}"/>
    <cellStyle name="TitleStyle" xfId="3922" xr:uid="{00000000-0005-0000-0000-0000600D0000}"/>
    <cellStyle name="TitleStyle 2" xfId="3936" xr:uid="{00000000-0005-0000-0000-0000610D0000}"/>
    <cellStyle name="TitleStyle 3" xfId="3937" xr:uid="{00000000-0005-0000-0000-0000620D0000}"/>
    <cellStyle name="Total 2" xfId="178" xr:uid="{00000000-0005-0000-0000-0000630D0000}"/>
    <cellStyle name="Total 2 10" xfId="3381" xr:uid="{00000000-0005-0000-0000-0000640D0000}"/>
    <cellStyle name="Total 2 10 2" xfId="3382" xr:uid="{00000000-0005-0000-0000-0000650D0000}"/>
    <cellStyle name="Total 2 10 3" xfId="3383" xr:uid="{00000000-0005-0000-0000-0000660D0000}"/>
    <cellStyle name="Total 2 10 4" xfId="3384" xr:uid="{00000000-0005-0000-0000-0000670D0000}"/>
    <cellStyle name="Total 2 10 5" xfId="3385" xr:uid="{00000000-0005-0000-0000-0000680D0000}"/>
    <cellStyle name="Total 2 11" xfId="3386" xr:uid="{00000000-0005-0000-0000-0000690D0000}"/>
    <cellStyle name="Total 2 11 2" xfId="3387" xr:uid="{00000000-0005-0000-0000-00006A0D0000}"/>
    <cellStyle name="Total 2 11 3" xfId="3388" xr:uid="{00000000-0005-0000-0000-00006B0D0000}"/>
    <cellStyle name="Total 2 11 4" xfId="3389" xr:uid="{00000000-0005-0000-0000-00006C0D0000}"/>
    <cellStyle name="Total 2 11 5" xfId="3390" xr:uid="{00000000-0005-0000-0000-00006D0D0000}"/>
    <cellStyle name="Total 2 12" xfId="3391" xr:uid="{00000000-0005-0000-0000-00006E0D0000}"/>
    <cellStyle name="Total 2 12 2" xfId="3392" xr:uid="{00000000-0005-0000-0000-00006F0D0000}"/>
    <cellStyle name="Total 2 12 3" xfId="3393" xr:uid="{00000000-0005-0000-0000-0000700D0000}"/>
    <cellStyle name="Total 2 12 4" xfId="3394" xr:uid="{00000000-0005-0000-0000-0000710D0000}"/>
    <cellStyle name="Total 2 12 5" xfId="3395" xr:uid="{00000000-0005-0000-0000-0000720D0000}"/>
    <cellStyle name="Total 2 13" xfId="3396" xr:uid="{00000000-0005-0000-0000-0000730D0000}"/>
    <cellStyle name="Total 2 13 2" xfId="3397" xr:uid="{00000000-0005-0000-0000-0000740D0000}"/>
    <cellStyle name="Total 2 13 3" xfId="3398" xr:uid="{00000000-0005-0000-0000-0000750D0000}"/>
    <cellStyle name="Total 2 13 4" xfId="3399" xr:uid="{00000000-0005-0000-0000-0000760D0000}"/>
    <cellStyle name="Total 2 14" xfId="3400" xr:uid="{00000000-0005-0000-0000-0000770D0000}"/>
    <cellStyle name="Total 2 14 2" xfId="3401" xr:uid="{00000000-0005-0000-0000-0000780D0000}"/>
    <cellStyle name="Total 2 14 3" xfId="3402" xr:uid="{00000000-0005-0000-0000-0000790D0000}"/>
    <cellStyle name="Total 2 14 4" xfId="3403" xr:uid="{00000000-0005-0000-0000-00007A0D0000}"/>
    <cellStyle name="Total 2 15" xfId="3404" xr:uid="{00000000-0005-0000-0000-00007B0D0000}"/>
    <cellStyle name="Total 2 15 2" xfId="3405" xr:uid="{00000000-0005-0000-0000-00007C0D0000}"/>
    <cellStyle name="Total 2 15 3" xfId="3406" xr:uid="{00000000-0005-0000-0000-00007D0D0000}"/>
    <cellStyle name="Total 2 15 4" xfId="3407" xr:uid="{00000000-0005-0000-0000-00007E0D0000}"/>
    <cellStyle name="Total 2 16" xfId="3408" xr:uid="{00000000-0005-0000-0000-00007F0D0000}"/>
    <cellStyle name="Total 2 2" xfId="3409" xr:uid="{00000000-0005-0000-0000-0000800D0000}"/>
    <cellStyle name="Total 2 2 10" xfId="3410" xr:uid="{00000000-0005-0000-0000-0000810D0000}"/>
    <cellStyle name="Total 2 2 10 2" xfId="3411" xr:uid="{00000000-0005-0000-0000-0000820D0000}"/>
    <cellStyle name="Total 2 2 10 3" xfId="3412" xr:uid="{00000000-0005-0000-0000-0000830D0000}"/>
    <cellStyle name="Total 2 2 10 4" xfId="3413" xr:uid="{00000000-0005-0000-0000-0000840D0000}"/>
    <cellStyle name="Total 2 2 10 5" xfId="3414" xr:uid="{00000000-0005-0000-0000-0000850D0000}"/>
    <cellStyle name="Total 2 2 11" xfId="3415" xr:uid="{00000000-0005-0000-0000-0000860D0000}"/>
    <cellStyle name="Total 2 2 11 2" xfId="3416" xr:uid="{00000000-0005-0000-0000-0000870D0000}"/>
    <cellStyle name="Total 2 2 11 3" xfId="3417" xr:uid="{00000000-0005-0000-0000-0000880D0000}"/>
    <cellStyle name="Total 2 2 11 4" xfId="3418" xr:uid="{00000000-0005-0000-0000-0000890D0000}"/>
    <cellStyle name="Total 2 2 11 5" xfId="3419" xr:uid="{00000000-0005-0000-0000-00008A0D0000}"/>
    <cellStyle name="Total 2 2 12" xfId="3420" xr:uid="{00000000-0005-0000-0000-00008B0D0000}"/>
    <cellStyle name="Total 2 2 12 2" xfId="3421" xr:uid="{00000000-0005-0000-0000-00008C0D0000}"/>
    <cellStyle name="Total 2 2 12 3" xfId="3422" xr:uid="{00000000-0005-0000-0000-00008D0D0000}"/>
    <cellStyle name="Total 2 2 12 4" xfId="3423" xr:uid="{00000000-0005-0000-0000-00008E0D0000}"/>
    <cellStyle name="Total 2 2 12 5" xfId="3424" xr:uid="{00000000-0005-0000-0000-00008F0D0000}"/>
    <cellStyle name="Total 2 2 13" xfId="3425" xr:uid="{00000000-0005-0000-0000-0000900D0000}"/>
    <cellStyle name="Total 2 2 13 2" xfId="3426" xr:uid="{00000000-0005-0000-0000-0000910D0000}"/>
    <cellStyle name="Total 2 2 13 3" xfId="3427" xr:uid="{00000000-0005-0000-0000-0000920D0000}"/>
    <cellStyle name="Total 2 2 13 4" xfId="3428" xr:uid="{00000000-0005-0000-0000-0000930D0000}"/>
    <cellStyle name="Total 2 2 13 5" xfId="3429" xr:uid="{00000000-0005-0000-0000-0000940D0000}"/>
    <cellStyle name="Total 2 2 14" xfId="3430" xr:uid="{00000000-0005-0000-0000-0000950D0000}"/>
    <cellStyle name="Total 2 2 14 2" xfId="3431" xr:uid="{00000000-0005-0000-0000-0000960D0000}"/>
    <cellStyle name="Total 2 2 14 3" xfId="3432" xr:uid="{00000000-0005-0000-0000-0000970D0000}"/>
    <cellStyle name="Total 2 2 14 4" xfId="3433" xr:uid="{00000000-0005-0000-0000-0000980D0000}"/>
    <cellStyle name="Total 2 2 14 5" xfId="3434" xr:uid="{00000000-0005-0000-0000-0000990D0000}"/>
    <cellStyle name="Total 2 2 15" xfId="3435" xr:uid="{00000000-0005-0000-0000-00009A0D0000}"/>
    <cellStyle name="Total 2 2 15 2" xfId="3436" xr:uid="{00000000-0005-0000-0000-00009B0D0000}"/>
    <cellStyle name="Total 2 2 15 3" xfId="3437" xr:uid="{00000000-0005-0000-0000-00009C0D0000}"/>
    <cellStyle name="Total 2 2 15 4" xfId="3438" xr:uid="{00000000-0005-0000-0000-00009D0D0000}"/>
    <cellStyle name="Total 2 2 15 5" xfId="3439" xr:uid="{00000000-0005-0000-0000-00009E0D0000}"/>
    <cellStyle name="Total 2 2 16" xfId="3440" xr:uid="{00000000-0005-0000-0000-00009F0D0000}"/>
    <cellStyle name="Total 2 2 16 2" xfId="3441" xr:uid="{00000000-0005-0000-0000-0000A00D0000}"/>
    <cellStyle name="Total 2 2 16 3" xfId="3442" xr:uid="{00000000-0005-0000-0000-0000A10D0000}"/>
    <cellStyle name="Total 2 2 16 4" xfId="3443" xr:uid="{00000000-0005-0000-0000-0000A20D0000}"/>
    <cellStyle name="Total 2 2 16 5" xfId="3444" xr:uid="{00000000-0005-0000-0000-0000A30D0000}"/>
    <cellStyle name="Total 2 2 17" xfId="3445" xr:uid="{00000000-0005-0000-0000-0000A40D0000}"/>
    <cellStyle name="Total 2 2 17 2" xfId="3446" xr:uid="{00000000-0005-0000-0000-0000A50D0000}"/>
    <cellStyle name="Total 2 2 17 3" xfId="3447" xr:uid="{00000000-0005-0000-0000-0000A60D0000}"/>
    <cellStyle name="Total 2 2 17 4" xfId="3448" xr:uid="{00000000-0005-0000-0000-0000A70D0000}"/>
    <cellStyle name="Total 2 2 18" xfId="3449" xr:uid="{00000000-0005-0000-0000-0000A80D0000}"/>
    <cellStyle name="Total 2 2 18 2" xfId="3450" xr:uid="{00000000-0005-0000-0000-0000A90D0000}"/>
    <cellStyle name="Total 2 2 18 3" xfId="3451" xr:uid="{00000000-0005-0000-0000-0000AA0D0000}"/>
    <cellStyle name="Total 2 2 18 4" xfId="3452" xr:uid="{00000000-0005-0000-0000-0000AB0D0000}"/>
    <cellStyle name="Total 2 2 19" xfId="3453" xr:uid="{00000000-0005-0000-0000-0000AC0D0000}"/>
    <cellStyle name="Total 2 2 19 2" xfId="3454" xr:uid="{00000000-0005-0000-0000-0000AD0D0000}"/>
    <cellStyle name="Total 2 2 19 3" xfId="3455" xr:uid="{00000000-0005-0000-0000-0000AE0D0000}"/>
    <cellStyle name="Total 2 2 19 4" xfId="3456" xr:uid="{00000000-0005-0000-0000-0000AF0D0000}"/>
    <cellStyle name="Total 2 2 2" xfId="3457" xr:uid="{00000000-0005-0000-0000-0000B00D0000}"/>
    <cellStyle name="Total 2 2 2 2" xfId="3458" xr:uid="{00000000-0005-0000-0000-0000B10D0000}"/>
    <cellStyle name="Total 2 2 2 3" xfId="3459" xr:uid="{00000000-0005-0000-0000-0000B20D0000}"/>
    <cellStyle name="Total 2 2 2 4" xfId="3460" xr:uid="{00000000-0005-0000-0000-0000B30D0000}"/>
    <cellStyle name="Total 2 2 2 5" xfId="3461" xr:uid="{00000000-0005-0000-0000-0000B40D0000}"/>
    <cellStyle name="Total 2 2 20" xfId="3462" xr:uid="{00000000-0005-0000-0000-0000B50D0000}"/>
    <cellStyle name="Total 2 2 20 2" xfId="3463" xr:uid="{00000000-0005-0000-0000-0000B60D0000}"/>
    <cellStyle name="Total 2 2 20 3" xfId="3464" xr:uid="{00000000-0005-0000-0000-0000B70D0000}"/>
    <cellStyle name="Total 2 2 20 4" xfId="3465" xr:uid="{00000000-0005-0000-0000-0000B80D0000}"/>
    <cellStyle name="Total 2 2 21" xfId="3466" xr:uid="{00000000-0005-0000-0000-0000B90D0000}"/>
    <cellStyle name="Total 2 2 3" xfId="3467" xr:uid="{00000000-0005-0000-0000-0000BA0D0000}"/>
    <cellStyle name="Total 2 2 3 2" xfId="3468" xr:uid="{00000000-0005-0000-0000-0000BB0D0000}"/>
    <cellStyle name="Total 2 2 3 3" xfId="3469" xr:uid="{00000000-0005-0000-0000-0000BC0D0000}"/>
    <cellStyle name="Total 2 2 3 4" xfId="3470" xr:uid="{00000000-0005-0000-0000-0000BD0D0000}"/>
    <cellStyle name="Total 2 2 3 5" xfId="3471" xr:uid="{00000000-0005-0000-0000-0000BE0D0000}"/>
    <cellStyle name="Total 2 2 4" xfId="3472" xr:uid="{00000000-0005-0000-0000-0000BF0D0000}"/>
    <cellStyle name="Total 2 2 4 2" xfId="3473" xr:uid="{00000000-0005-0000-0000-0000C00D0000}"/>
    <cellStyle name="Total 2 2 4 3" xfId="3474" xr:uid="{00000000-0005-0000-0000-0000C10D0000}"/>
    <cellStyle name="Total 2 2 4 4" xfId="3475" xr:uid="{00000000-0005-0000-0000-0000C20D0000}"/>
    <cellStyle name="Total 2 2 4 5" xfId="3476" xr:uid="{00000000-0005-0000-0000-0000C30D0000}"/>
    <cellStyle name="Total 2 2 5" xfId="3477" xr:uid="{00000000-0005-0000-0000-0000C40D0000}"/>
    <cellStyle name="Total 2 2 5 2" xfId="3478" xr:uid="{00000000-0005-0000-0000-0000C50D0000}"/>
    <cellStyle name="Total 2 2 5 3" xfId="3479" xr:uid="{00000000-0005-0000-0000-0000C60D0000}"/>
    <cellStyle name="Total 2 2 5 4" xfId="3480" xr:uid="{00000000-0005-0000-0000-0000C70D0000}"/>
    <cellStyle name="Total 2 2 5 5" xfId="3481" xr:uid="{00000000-0005-0000-0000-0000C80D0000}"/>
    <cellStyle name="Total 2 2 6" xfId="3482" xr:uid="{00000000-0005-0000-0000-0000C90D0000}"/>
    <cellStyle name="Total 2 2 6 2" xfId="3483" xr:uid="{00000000-0005-0000-0000-0000CA0D0000}"/>
    <cellStyle name="Total 2 2 6 3" xfId="3484" xr:uid="{00000000-0005-0000-0000-0000CB0D0000}"/>
    <cellStyle name="Total 2 2 6 4" xfId="3485" xr:uid="{00000000-0005-0000-0000-0000CC0D0000}"/>
    <cellStyle name="Total 2 2 6 5" xfId="3486" xr:uid="{00000000-0005-0000-0000-0000CD0D0000}"/>
    <cellStyle name="Total 2 2 7" xfId="3487" xr:uid="{00000000-0005-0000-0000-0000CE0D0000}"/>
    <cellStyle name="Total 2 2 7 2" xfId="3488" xr:uid="{00000000-0005-0000-0000-0000CF0D0000}"/>
    <cellStyle name="Total 2 2 7 3" xfId="3489" xr:uid="{00000000-0005-0000-0000-0000D00D0000}"/>
    <cellStyle name="Total 2 2 7 4" xfId="3490" xr:uid="{00000000-0005-0000-0000-0000D10D0000}"/>
    <cellStyle name="Total 2 2 7 5" xfId="3491" xr:uid="{00000000-0005-0000-0000-0000D20D0000}"/>
    <cellStyle name="Total 2 2 8" xfId="3492" xr:uid="{00000000-0005-0000-0000-0000D30D0000}"/>
    <cellStyle name="Total 2 2 8 2" xfId="3493" xr:uid="{00000000-0005-0000-0000-0000D40D0000}"/>
    <cellStyle name="Total 2 2 8 3" xfId="3494" xr:uid="{00000000-0005-0000-0000-0000D50D0000}"/>
    <cellStyle name="Total 2 2 8 4" xfId="3495" xr:uid="{00000000-0005-0000-0000-0000D60D0000}"/>
    <cellStyle name="Total 2 2 8 5" xfId="3496" xr:uid="{00000000-0005-0000-0000-0000D70D0000}"/>
    <cellStyle name="Total 2 2 9" xfId="3497" xr:uid="{00000000-0005-0000-0000-0000D80D0000}"/>
    <cellStyle name="Total 2 2 9 2" xfId="3498" xr:uid="{00000000-0005-0000-0000-0000D90D0000}"/>
    <cellStyle name="Total 2 2 9 3" xfId="3499" xr:uid="{00000000-0005-0000-0000-0000DA0D0000}"/>
    <cellStyle name="Total 2 2 9 4" xfId="3500" xr:uid="{00000000-0005-0000-0000-0000DB0D0000}"/>
    <cellStyle name="Total 2 2 9 5" xfId="3501" xr:uid="{00000000-0005-0000-0000-0000DC0D0000}"/>
    <cellStyle name="Total 2 3" xfId="3502" xr:uid="{00000000-0005-0000-0000-0000DD0D0000}"/>
    <cellStyle name="Total 2 3 10" xfId="3503" xr:uid="{00000000-0005-0000-0000-0000DE0D0000}"/>
    <cellStyle name="Total 2 3 10 2" xfId="3504" xr:uid="{00000000-0005-0000-0000-0000DF0D0000}"/>
    <cellStyle name="Total 2 3 10 3" xfId="3505" xr:uid="{00000000-0005-0000-0000-0000E00D0000}"/>
    <cellStyle name="Total 2 3 10 4" xfId="3506" xr:uid="{00000000-0005-0000-0000-0000E10D0000}"/>
    <cellStyle name="Total 2 3 10 5" xfId="3507" xr:uid="{00000000-0005-0000-0000-0000E20D0000}"/>
    <cellStyle name="Total 2 3 11" xfId="3508" xr:uid="{00000000-0005-0000-0000-0000E30D0000}"/>
    <cellStyle name="Total 2 3 11 2" xfId="3509" xr:uid="{00000000-0005-0000-0000-0000E40D0000}"/>
    <cellStyle name="Total 2 3 11 3" xfId="3510" xr:uid="{00000000-0005-0000-0000-0000E50D0000}"/>
    <cellStyle name="Total 2 3 11 4" xfId="3511" xr:uid="{00000000-0005-0000-0000-0000E60D0000}"/>
    <cellStyle name="Total 2 3 11 5" xfId="3512" xr:uid="{00000000-0005-0000-0000-0000E70D0000}"/>
    <cellStyle name="Total 2 3 12" xfId="3513" xr:uid="{00000000-0005-0000-0000-0000E80D0000}"/>
    <cellStyle name="Total 2 3 12 2" xfId="3514" xr:uid="{00000000-0005-0000-0000-0000E90D0000}"/>
    <cellStyle name="Total 2 3 12 3" xfId="3515" xr:uid="{00000000-0005-0000-0000-0000EA0D0000}"/>
    <cellStyle name="Total 2 3 12 4" xfId="3516" xr:uid="{00000000-0005-0000-0000-0000EB0D0000}"/>
    <cellStyle name="Total 2 3 12 5" xfId="3517" xr:uid="{00000000-0005-0000-0000-0000EC0D0000}"/>
    <cellStyle name="Total 2 3 13" xfId="3518" xr:uid="{00000000-0005-0000-0000-0000ED0D0000}"/>
    <cellStyle name="Total 2 3 13 2" xfId="3519" xr:uid="{00000000-0005-0000-0000-0000EE0D0000}"/>
    <cellStyle name="Total 2 3 13 3" xfId="3520" xr:uid="{00000000-0005-0000-0000-0000EF0D0000}"/>
    <cellStyle name="Total 2 3 13 4" xfId="3521" xr:uid="{00000000-0005-0000-0000-0000F00D0000}"/>
    <cellStyle name="Total 2 3 13 5" xfId="3522" xr:uid="{00000000-0005-0000-0000-0000F10D0000}"/>
    <cellStyle name="Total 2 3 14" xfId="3523" xr:uid="{00000000-0005-0000-0000-0000F20D0000}"/>
    <cellStyle name="Total 2 3 14 2" xfId="3524" xr:uid="{00000000-0005-0000-0000-0000F30D0000}"/>
    <cellStyle name="Total 2 3 14 3" xfId="3525" xr:uid="{00000000-0005-0000-0000-0000F40D0000}"/>
    <cellStyle name="Total 2 3 14 4" xfId="3526" xr:uid="{00000000-0005-0000-0000-0000F50D0000}"/>
    <cellStyle name="Total 2 3 14 5" xfId="3527" xr:uid="{00000000-0005-0000-0000-0000F60D0000}"/>
    <cellStyle name="Total 2 3 15" xfId="3528" xr:uid="{00000000-0005-0000-0000-0000F70D0000}"/>
    <cellStyle name="Total 2 3 15 2" xfId="3529" xr:uid="{00000000-0005-0000-0000-0000F80D0000}"/>
    <cellStyle name="Total 2 3 15 3" xfId="3530" xr:uid="{00000000-0005-0000-0000-0000F90D0000}"/>
    <cellStyle name="Total 2 3 15 4" xfId="3531" xr:uid="{00000000-0005-0000-0000-0000FA0D0000}"/>
    <cellStyle name="Total 2 3 15 5" xfId="3532" xr:uid="{00000000-0005-0000-0000-0000FB0D0000}"/>
    <cellStyle name="Total 2 3 16" xfId="3533" xr:uid="{00000000-0005-0000-0000-0000FC0D0000}"/>
    <cellStyle name="Total 2 3 16 2" xfId="3534" xr:uid="{00000000-0005-0000-0000-0000FD0D0000}"/>
    <cellStyle name="Total 2 3 16 3" xfId="3535" xr:uid="{00000000-0005-0000-0000-0000FE0D0000}"/>
    <cellStyle name="Total 2 3 16 4" xfId="3536" xr:uid="{00000000-0005-0000-0000-0000FF0D0000}"/>
    <cellStyle name="Total 2 3 16 5" xfId="3537" xr:uid="{00000000-0005-0000-0000-0000000E0000}"/>
    <cellStyle name="Total 2 3 17" xfId="3538" xr:uid="{00000000-0005-0000-0000-0000010E0000}"/>
    <cellStyle name="Total 2 3 17 2" xfId="3539" xr:uid="{00000000-0005-0000-0000-0000020E0000}"/>
    <cellStyle name="Total 2 3 17 3" xfId="3540" xr:uid="{00000000-0005-0000-0000-0000030E0000}"/>
    <cellStyle name="Total 2 3 17 4" xfId="3541" xr:uid="{00000000-0005-0000-0000-0000040E0000}"/>
    <cellStyle name="Total 2 3 18" xfId="3542" xr:uid="{00000000-0005-0000-0000-0000050E0000}"/>
    <cellStyle name="Total 2 3 18 2" xfId="3543" xr:uid="{00000000-0005-0000-0000-0000060E0000}"/>
    <cellStyle name="Total 2 3 18 3" xfId="3544" xr:uid="{00000000-0005-0000-0000-0000070E0000}"/>
    <cellStyle name="Total 2 3 18 4" xfId="3545" xr:uid="{00000000-0005-0000-0000-0000080E0000}"/>
    <cellStyle name="Total 2 3 19" xfId="3546" xr:uid="{00000000-0005-0000-0000-0000090E0000}"/>
    <cellStyle name="Total 2 3 19 2" xfId="3547" xr:uid="{00000000-0005-0000-0000-00000A0E0000}"/>
    <cellStyle name="Total 2 3 19 3" xfId="3548" xr:uid="{00000000-0005-0000-0000-00000B0E0000}"/>
    <cellStyle name="Total 2 3 19 4" xfId="3549" xr:uid="{00000000-0005-0000-0000-00000C0E0000}"/>
    <cellStyle name="Total 2 3 2" xfId="3550" xr:uid="{00000000-0005-0000-0000-00000D0E0000}"/>
    <cellStyle name="Total 2 3 2 2" xfId="3551" xr:uid="{00000000-0005-0000-0000-00000E0E0000}"/>
    <cellStyle name="Total 2 3 2 3" xfId="3552" xr:uid="{00000000-0005-0000-0000-00000F0E0000}"/>
    <cellStyle name="Total 2 3 2 4" xfId="3553" xr:uid="{00000000-0005-0000-0000-0000100E0000}"/>
    <cellStyle name="Total 2 3 2 5" xfId="3554" xr:uid="{00000000-0005-0000-0000-0000110E0000}"/>
    <cellStyle name="Total 2 3 20" xfId="3555" xr:uid="{00000000-0005-0000-0000-0000120E0000}"/>
    <cellStyle name="Total 2 3 20 2" xfId="3556" xr:uid="{00000000-0005-0000-0000-0000130E0000}"/>
    <cellStyle name="Total 2 3 20 3" xfId="3557" xr:uid="{00000000-0005-0000-0000-0000140E0000}"/>
    <cellStyle name="Total 2 3 20 4" xfId="3558" xr:uid="{00000000-0005-0000-0000-0000150E0000}"/>
    <cellStyle name="Total 2 3 21" xfId="3559" xr:uid="{00000000-0005-0000-0000-0000160E0000}"/>
    <cellStyle name="Total 2 3 3" xfId="3560" xr:uid="{00000000-0005-0000-0000-0000170E0000}"/>
    <cellStyle name="Total 2 3 3 2" xfId="3561" xr:uid="{00000000-0005-0000-0000-0000180E0000}"/>
    <cellStyle name="Total 2 3 3 3" xfId="3562" xr:uid="{00000000-0005-0000-0000-0000190E0000}"/>
    <cellStyle name="Total 2 3 3 4" xfId="3563" xr:uid="{00000000-0005-0000-0000-00001A0E0000}"/>
    <cellStyle name="Total 2 3 3 5" xfId="3564" xr:uid="{00000000-0005-0000-0000-00001B0E0000}"/>
    <cellStyle name="Total 2 3 4" xfId="3565" xr:uid="{00000000-0005-0000-0000-00001C0E0000}"/>
    <cellStyle name="Total 2 3 4 2" xfId="3566" xr:uid="{00000000-0005-0000-0000-00001D0E0000}"/>
    <cellStyle name="Total 2 3 4 3" xfId="3567" xr:uid="{00000000-0005-0000-0000-00001E0E0000}"/>
    <cellStyle name="Total 2 3 4 4" xfId="3568" xr:uid="{00000000-0005-0000-0000-00001F0E0000}"/>
    <cellStyle name="Total 2 3 4 5" xfId="3569" xr:uid="{00000000-0005-0000-0000-0000200E0000}"/>
    <cellStyle name="Total 2 3 5" xfId="3570" xr:uid="{00000000-0005-0000-0000-0000210E0000}"/>
    <cellStyle name="Total 2 3 5 2" xfId="3571" xr:uid="{00000000-0005-0000-0000-0000220E0000}"/>
    <cellStyle name="Total 2 3 5 3" xfId="3572" xr:uid="{00000000-0005-0000-0000-0000230E0000}"/>
    <cellStyle name="Total 2 3 5 4" xfId="3573" xr:uid="{00000000-0005-0000-0000-0000240E0000}"/>
    <cellStyle name="Total 2 3 5 5" xfId="3574" xr:uid="{00000000-0005-0000-0000-0000250E0000}"/>
    <cellStyle name="Total 2 3 6" xfId="3575" xr:uid="{00000000-0005-0000-0000-0000260E0000}"/>
    <cellStyle name="Total 2 3 6 2" xfId="3576" xr:uid="{00000000-0005-0000-0000-0000270E0000}"/>
    <cellStyle name="Total 2 3 6 3" xfId="3577" xr:uid="{00000000-0005-0000-0000-0000280E0000}"/>
    <cellStyle name="Total 2 3 6 4" xfId="3578" xr:uid="{00000000-0005-0000-0000-0000290E0000}"/>
    <cellStyle name="Total 2 3 6 5" xfId="3579" xr:uid="{00000000-0005-0000-0000-00002A0E0000}"/>
    <cellStyle name="Total 2 3 7" xfId="3580" xr:uid="{00000000-0005-0000-0000-00002B0E0000}"/>
    <cellStyle name="Total 2 3 7 2" xfId="3581" xr:uid="{00000000-0005-0000-0000-00002C0E0000}"/>
    <cellStyle name="Total 2 3 7 3" xfId="3582" xr:uid="{00000000-0005-0000-0000-00002D0E0000}"/>
    <cellStyle name="Total 2 3 7 4" xfId="3583" xr:uid="{00000000-0005-0000-0000-00002E0E0000}"/>
    <cellStyle name="Total 2 3 7 5" xfId="3584" xr:uid="{00000000-0005-0000-0000-00002F0E0000}"/>
    <cellStyle name="Total 2 3 8" xfId="3585" xr:uid="{00000000-0005-0000-0000-0000300E0000}"/>
    <cellStyle name="Total 2 3 8 2" xfId="3586" xr:uid="{00000000-0005-0000-0000-0000310E0000}"/>
    <cellStyle name="Total 2 3 8 3" xfId="3587" xr:uid="{00000000-0005-0000-0000-0000320E0000}"/>
    <cellStyle name="Total 2 3 8 4" xfId="3588" xr:uid="{00000000-0005-0000-0000-0000330E0000}"/>
    <cellStyle name="Total 2 3 8 5" xfId="3589" xr:uid="{00000000-0005-0000-0000-0000340E0000}"/>
    <cellStyle name="Total 2 3 9" xfId="3590" xr:uid="{00000000-0005-0000-0000-0000350E0000}"/>
    <cellStyle name="Total 2 3 9 2" xfId="3591" xr:uid="{00000000-0005-0000-0000-0000360E0000}"/>
    <cellStyle name="Total 2 3 9 3" xfId="3592" xr:uid="{00000000-0005-0000-0000-0000370E0000}"/>
    <cellStyle name="Total 2 3 9 4" xfId="3593" xr:uid="{00000000-0005-0000-0000-0000380E0000}"/>
    <cellStyle name="Total 2 3 9 5" xfId="3594" xr:uid="{00000000-0005-0000-0000-0000390E0000}"/>
    <cellStyle name="Total 2 4" xfId="3595" xr:uid="{00000000-0005-0000-0000-00003A0E0000}"/>
    <cellStyle name="Total 2 4 10" xfId="3596" xr:uid="{00000000-0005-0000-0000-00003B0E0000}"/>
    <cellStyle name="Total 2 4 10 2" xfId="3597" xr:uid="{00000000-0005-0000-0000-00003C0E0000}"/>
    <cellStyle name="Total 2 4 10 3" xfId="3598" xr:uid="{00000000-0005-0000-0000-00003D0E0000}"/>
    <cellStyle name="Total 2 4 10 4" xfId="3599" xr:uid="{00000000-0005-0000-0000-00003E0E0000}"/>
    <cellStyle name="Total 2 4 10 5" xfId="3600" xr:uid="{00000000-0005-0000-0000-00003F0E0000}"/>
    <cellStyle name="Total 2 4 11" xfId="3601" xr:uid="{00000000-0005-0000-0000-0000400E0000}"/>
    <cellStyle name="Total 2 4 11 2" xfId="3602" xr:uid="{00000000-0005-0000-0000-0000410E0000}"/>
    <cellStyle name="Total 2 4 11 3" xfId="3603" xr:uid="{00000000-0005-0000-0000-0000420E0000}"/>
    <cellStyle name="Total 2 4 11 4" xfId="3604" xr:uid="{00000000-0005-0000-0000-0000430E0000}"/>
    <cellStyle name="Total 2 4 11 5" xfId="3605" xr:uid="{00000000-0005-0000-0000-0000440E0000}"/>
    <cellStyle name="Total 2 4 12" xfId="3606" xr:uid="{00000000-0005-0000-0000-0000450E0000}"/>
    <cellStyle name="Total 2 4 12 2" xfId="3607" xr:uid="{00000000-0005-0000-0000-0000460E0000}"/>
    <cellStyle name="Total 2 4 12 3" xfId="3608" xr:uid="{00000000-0005-0000-0000-0000470E0000}"/>
    <cellStyle name="Total 2 4 12 4" xfId="3609" xr:uid="{00000000-0005-0000-0000-0000480E0000}"/>
    <cellStyle name="Total 2 4 12 5" xfId="3610" xr:uid="{00000000-0005-0000-0000-0000490E0000}"/>
    <cellStyle name="Total 2 4 13" xfId="3611" xr:uid="{00000000-0005-0000-0000-00004A0E0000}"/>
    <cellStyle name="Total 2 4 13 2" xfId="3612" xr:uid="{00000000-0005-0000-0000-00004B0E0000}"/>
    <cellStyle name="Total 2 4 13 3" xfId="3613" xr:uid="{00000000-0005-0000-0000-00004C0E0000}"/>
    <cellStyle name="Total 2 4 13 4" xfId="3614" xr:uid="{00000000-0005-0000-0000-00004D0E0000}"/>
    <cellStyle name="Total 2 4 13 5" xfId="3615" xr:uid="{00000000-0005-0000-0000-00004E0E0000}"/>
    <cellStyle name="Total 2 4 14" xfId="3616" xr:uid="{00000000-0005-0000-0000-00004F0E0000}"/>
    <cellStyle name="Total 2 4 14 2" xfId="3617" xr:uid="{00000000-0005-0000-0000-0000500E0000}"/>
    <cellStyle name="Total 2 4 14 3" xfId="3618" xr:uid="{00000000-0005-0000-0000-0000510E0000}"/>
    <cellStyle name="Total 2 4 14 4" xfId="3619" xr:uid="{00000000-0005-0000-0000-0000520E0000}"/>
    <cellStyle name="Total 2 4 14 5" xfId="3620" xr:uid="{00000000-0005-0000-0000-0000530E0000}"/>
    <cellStyle name="Total 2 4 15" xfId="3621" xr:uid="{00000000-0005-0000-0000-0000540E0000}"/>
    <cellStyle name="Total 2 4 15 2" xfId="3622" xr:uid="{00000000-0005-0000-0000-0000550E0000}"/>
    <cellStyle name="Total 2 4 15 3" xfId="3623" xr:uid="{00000000-0005-0000-0000-0000560E0000}"/>
    <cellStyle name="Total 2 4 15 4" xfId="3624" xr:uid="{00000000-0005-0000-0000-0000570E0000}"/>
    <cellStyle name="Total 2 4 15 5" xfId="3625" xr:uid="{00000000-0005-0000-0000-0000580E0000}"/>
    <cellStyle name="Total 2 4 16" xfId="3626" xr:uid="{00000000-0005-0000-0000-0000590E0000}"/>
    <cellStyle name="Total 2 4 16 2" xfId="3627" xr:uid="{00000000-0005-0000-0000-00005A0E0000}"/>
    <cellStyle name="Total 2 4 16 3" xfId="3628" xr:uid="{00000000-0005-0000-0000-00005B0E0000}"/>
    <cellStyle name="Total 2 4 16 4" xfId="3629" xr:uid="{00000000-0005-0000-0000-00005C0E0000}"/>
    <cellStyle name="Total 2 4 16 5" xfId="3630" xr:uid="{00000000-0005-0000-0000-00005D0E0000}"/>
    <cellStyle name="Total 2 4 17" xfId="3631" xr:uid="{00000000-0005-0000-0000-00005E0E0000}"/>
    <cellStyle name="Total 2 4 17 2" xfId="3632" xr:uid="{00000000-0005-0000-0000-00005F0E0000}"/>
    <cellStyle name="Total 2 4 17 3" xfId="3633" xr:uid="{00000000-0005-0000-0000-0000600E0000}"/>
    <cellStyle name="Total 2 4 17 4" xfId="3634" xr:uid="{00000000-0005-0000-0000-0000610E0000}"/>
    <cellStyle name="Total 2 4 18" xfId="3635" xr:uid="{00000000-0005-0000-0000-0000620E0000}"/>
    <cellStyle name="Total 2 4 18 2" xfId="3636" xr:uid="{00000000-0005-0000-0000-0000630E0000}"/>
    <cellStyle name="Total 2 4 18 3" xfId="3637" xr:uid="{00000000-0005-0000-0000-0000640E0000}"/>
    <cellStyle name="Total 2 4 18 4" xfId="3638" xr:uid="{00000000-0005-0000-0000-0000650E0000}"/>
    <cellStyle name="Total 2 4 19" xfId="3639" xr:uid="{00000000-0005-0000-0000-0000660E0000}"/>
    <cellStyle name="Total 2 4 19 2" xfId="3640" xr:uid="{00000000-0005-0000-0000-0000670E0000}"/>
    <cellStyle name="Total 2 4 19 3" xfId="3641" xr:uid="{00000000-0005-0000-0000-0000680E0000}"/>
    <cellStyle name="Total 2 4 19 4" xfId="3642" xr:uid="{00000000-0005-0000-0000-0000690E0000}"/>
    <cellStyle name="Total 2 4 2" xfId="3643" xr:uid="{00000000-0005-0000-0000-00006A0E0000}"/>
    <cellStyle name="Total 2 4 2 2" xfId="3644" xr:uid="{00000000-0005-0000-0000-00006B0E0000}"/>
    <cellStyle name="Total 2 4 2 3" xfId="3645" xr:uid="{00000000-0005-0000-0000-00006C0E0000}"/>
    <cellStyle name="Total 2 4 2 4" xfId="3646" xr:uid="{00000000-0005-0000-0000-00006D0E0000}"/>
    <cellStyle name="Total 2 4 2 5" xfId="3647" xr:uid="{00000000-0005-0000-0000-00006E0E0000}"/>
    <cellStyle name="Total 2 4 20" xfId="3648" xr:uid="{00000000-0005-0000-0000-00006F0E0000}"/>
    <cellStyle name="Total 2 4 20 2" xfId="3649" xr:uid="{00000000-0005-0000-0000-0000700E0000}"/>
    <cellStyle name="Total 2 4 20 3" xfId="3650" xr:uid="{00000000-0005-0000-0000-0000710E0000}"/>
    <cellStyle name="Total 2 4 20 4" xfId="3651" xr:uid="{00000000-0005-0000-0000-0000720E0000}"/>
    <cellStyle name="Total 2 4 21" xfId="3652" xr:uid="{00000000-0005-0000-0000-0000730E0000}"/>
    <cellStyle name="Total 2 4 3" xfId="3653" xr:uid="{00000000-0005-0000-0000-0000740E0000}"/>
    <cellStyle name="Total 2 4 3 2" xfId="3654" xr:uid="{00000000-0005-0000-0000-0000750E0000}"/>
    <cellStyle name="Total 2 4 3 3" xfId="3655" xr:uid="{00000000-0005-0000-0000-0000760E0000}"/>
    <cellStyle name="Total 2 4 3 4" xfId="3656" xr:uid="{00000000-0005-0000-0000-0000770E0000}"/>
    <cellStyle name="Total 2 4 3 5" xfId="3657" xr:uid="{00000000-0005-0000-0000-0000780E0000}"/>
    <cellStyle name="Total 2 4 4" xfId="3658" xr:uid="{00000000-0005-0000-0000-0000790E0000}"/>
    <cellStyle name="Total 2 4 4 2" xfId="3659" xr:uid="{00000000-0005-0000-0000-00007A0E0000}"/>
    <cellStyle name="Total 2 4 4 3" xfId="3660" xr:uid="{00000000-0005-0000-0000-00007B0E0000}"/>
    <cellStyle name="Total 2 4 4 4" xfId="3661" xr:uid="{00000000-0005-0000-0000-00007C0E0000}"/>
    <cellStyle name="Total 2 4 4 5" xfId="3662" xr:uid="{00000000-0005-0000-0000-00007D0E0000}"/>
    <cellStyle name="Total 2 4 5" xfId="3663" xr:uid="{00000000-0005-0000-0000-00007E0E0000}"/>
    <cellStyle name="Total 2 4 5 2" xfId="3664" xr:uid="{00000000-0005-0000-0000-00007F0E0000}"/>
    <cellStyle name="Total 2 4 5 3" xfId="3665" xr:uid="{00000000-0005-0000-0000-0000800E0000}"/>
    <cellStyle name="Total 2 4 5 4" xfId="3666" xr:uid="{00000000-0005-0000-0000-0000810E0000}"/>
    <cellStyle name="Total 2 4 5 5" xfId="3667" xr:uid="{00000000-0005-0000-0000-0000820E0000}"/>
    <cellStyle name="Total 2 4 6" xfId="3668" xr:uid="{00000000-0005-0000-0000-0000830E0000}"/>
    <cellStyle name="Total 2 4 6 2" xfId="3669" xr:uid="{00000000-0005-0000-0000-0000840E0000}"/>
    <cellStyle name="Total 2 4 6 3" xfId="3670" xr:uid="{00000000-0005-0000-0000-0000850E0000}"/>
    <cellStyle name="Total 2 4 6 4" xfId="3671" xr:uid="{00000000-0005-0000-0000-0000860E0000}"/>
    <cellStyle name="Total 2 4 6 5" xfId="3672" xr:uid="{00000000-0005-0000-0000-0000870E0000}"/>
    <cellStyle name="Total 2 4 7" xfId="3673" xr:uid="{00000000-0005-0000-0000-0000880E0000}"/>
    <cellStyle name="Total 2 4 7 2" xfId="3674" xr:uid="{00000000-0005-0000-0000-0000890E0000}"/>
    <cellStyle name="Total 2 4 7 3" xfId="3675" xr:uid="{00000000-0005-0000-0000-00008A0E0000}"/>
    <cellStyle name="Total 2 4 7 4" xfId="3676" xr:uid="{00000000-0005-0000-0000-00008B0E0000}"/>
    <cellStyle name="Total 2 4 7 5" xfId="3677" xr:uid="{00000000-0005-0000-0000-00008C0E0000}"/>
    <cellStyle name="Total 2 4 8" xfId="3678" xr:uid="{00000000-0005-0000-0000-00008D0E0000}"/>
    <cellStyle name="Total 2 4 8 2" xfId="3679" xr:uid="{00000000-0005-0000-0000-00008E0E0000}"/>
    <cellStyle name="Total 2 4 8 3" xfId="3680" xr:uid="{00000000-0005-0000-0000-00008F0E0000}"/>
    <cellStyle name="Total 2 4 8 4" xfId="3681" xr:uid="{00000000-0005-0000-0000-0000900E0000}"/>
    <cellStyle name="Total 2 4 8 5" xfId="3682" xr:uid="{00000000-0005-0000-0000-0000910E0000}"/>
    <cellStyle name="Total 2 4 9" xfId="3683" xr:uid="{00000000-0005-0000-0000-0000920E0000}"/>
    <cellStyle name="Total 2 4 9 2" xfId="3684" xr:uid="{00000000-0005-0000-0000-0000930E0000}"/>
    <cellStyle name="Total 2 4 9 3" xfId="3685" xr:uid="{00000000-0005-0000-0000-0000940E0000}"/>
    <cellStyle name="Total 2 4 9 4" xfId="3686" xr:uid="{00000000-0005-0000-0000-0000950E0000}"/>
    <cellStyle name="Total 2 4 9 5" xfId="3687" xr:uid="{00000000-0005-0000-0000-0000960E0000}"/>
    <cellStyle name="Total 2 5" xfId="3688" xr:uid="{00000000-0005-0000-0000-0000970E0000}"/>
    <cellStyle name="Total 2 5 10" xfId="3689" xr:uid="{00000000-0005-0000-0000-0000980E0000}"/>
    <cellStyle name="Total 2 5 10 2" xfId="3690" xr:uid="{00000000-0005-0000-0000-0000990E0000}"/>
    <cellStyle name="Total 2 5 10 3" xfId="3691" xr:uid="{00000000-0005-0000-0000-00009A0E0000}"/>
    <cellStyle name="Total 2 5 10 4" xfId="3692" xr:uid="{00000000-0005-0000-0000-00009B0E0000}"/>
    <cellStyle name="Total 2 5 10 5" xfId="3693" xr:uid="{00000000-0005-0000-0000-00009C0E0000}"/>
    <cellStyle name="Total 2 5 11" xfId="3694" xr:uid="{00000000-0005-0000-0000-00009D0E0000}"/>
    <cellStyle name="Total 2 5 11 2" xfId="3695" xr:uid="{00000000-0005-0000-0000-00009E0E0000}"/>
    <cellStyle name="Total 2 5 11 3" xfId="3696" xr:uid="{00000000-0005-0000-0000-00009F0E0000}"/>
    <cellStyle name="Total 2 5 11 4" xfId="3697" xr:uid="{00000000-0005-0000-0000-0000A00E0000}"/>
    <cellStyle name="Total 2 5 11 5" xfId="3698" xr:uid="{00000000-0005-0000-0000-0000A10E0000}"/>
    <cellStyle name="Total 2 5 12" xfId="3699" xr:uid="{00000000-0005-0000-0000-0000A20E0000}"/>
    <cellStyle name="Total 2 5 12 2" xfId="3700" xr:uid="{00000000-0005-0000-0000-0000A30E0000}"/>
    <cellStyle name="Total 2 5 12 3" xfId="3701" xr:uid="{00000000-0005-0000-0000-0000A40E0000}"/>
    <cellStyle name="Total 2 5 12 4" xfId="3702" xr:uid="{00000000-0005-0000-0000-0000A50E0000}"/>
    <cellStyle name="Total 2 5 12 5" xfId="3703" xr:uid="{00000000-0005-0000-0000-0000A60E0000}"/>
    <cellStyle name="Total 2 5 13" xfId="3704" xr:uid="{00000000-0005-0000-0000-0000A70E0000}"/>
    <cellStyle name="Total 2 5 13 2" xfId="3705" xr:uid="{00000000-0005-0000-0000-0000A80E0000}"/>
    <cellStyle name="Total 2 5 13 3" xfId="3706" xr:uid="{00000000-0005-0000-0000-0000A90E0000}"/>
    <cellStyle name="Total 2 5 13 4" xfId="3707" xr:uid="{00000000-0005-0000-0000-0000AA0E0000}"/>
    <cellStyle name="Total 2 5 13 5" xfId="3708" xr:uid="{00000000-0005-0000-0000-0000AB0E0000}"/>
    <cellStyle name="Total 2 5 14" xfId="3709" xr:uid="{00000000-0005-0000-0000-0000AC0E0000}"/>
    <cellStyle name="Total 2 5 14 2" xfId="3710" xr:uid="{00000000-0005-0000-0000-0000AD0E0000}"/>
    <cellStyle name="Total 2 5 14 3" xfId="3711" xr:uid="{00000000-0005-0000-0000-0000AE0E0000}"/>
    <cellStyle name="Total 2 5 14 4" xfId="3712" xr:uid="{00000000-0005-0000-0000-0000AF0E0000}"/>
    <cellStyle name="Total 2 5 14 5" xfId="3713" xr:uid="{00000000-0005-0000-0000-0000B00E0000}"/>
    <cellStyle name="Total 2 5 15" xfId="3714" xr:uid="{00000000-0005-0000-0000-0000B10E0000}"/>
    <cellStyle name="Total 2 5 15 2" xfId="3715" xr:uid="{00000000-0005-0000-0000-0000B20E0000}"/>
    <cellStyle name="Total 2 5 15 3" xfId="3716" xr:uid="{00000000-0005-0000-0000-0000B30E0000}"/>
    <cellStyle name="Total 2 5 15 4" xfId="3717" xr:uid="{00000000-0005-0000-0000-0000B40E0000}"/>
    <cellStyle name="Total 2 5 15 5" xfId="3718" xr:uid="{00000000-0005-0000-0000-0000B50E0000}"/>
    <cellStyle name="Total 2 5 16" xfId="3719" xr:uid="{00000000-0005-0000-0000-0000B60E0000}"/>
    <cellStyle name="Total 2 5 16 2" xfId="3720" xr:uid="{00000000-0005-0000-0000-0000B70E0000}"/>
    <cellStyle name="Total 2 5 16 3" xfId="3721" xr:uid="{00000000-0005-0000-0000-0000B80E0000}"/>
    <cellStyle name="Total 2 5 16 4" xfId="3722" xr:uid="{00000000-0005-0000-0000-0000B90E0000}"/>
    <cellStyle name="Total 2 5 16 5" xfId="3723" xr:uid="{00000000-0005-0000-0000-0000BA0E0000}"/>
    <cellStyle name="Total 2 5 17" xfId="3724" xr:uid="{00000000-0005-0000-0000-0000BB0E0000}"/>
    <cellStyle name="Total 2 5 17 2" xfId="3725" xr:uid="{00000000-0005-0000-0000-0000BC0E0000}"/>
    <cellStyle name="Total 2 5 17 3" xfId="3726" xr:uid="{00000000-0005-0000-0000-0000BD0E0000}"/>
    <cellStyle name="Total 2 5 17 4" xfId="3727" xr:uid="{00000000-0005-0000-0000-0000BE0E0000}"/>
    <cellStyle name="Total 2 5 18" xfId="3728" xr:uid="{00000000-0005-0000-0000-0000BF0E0000}"/>
    <cellStyle name="Total 2 5 18 2" xfId="3729" xr:uid="{00000000-0005-0000-0000-0000C00E0000}"/>
    <cellStyle name="Total 2 5 18 3" xfId="3730" xr:uid="{00000000-0005-0000-0000-0000C10E0000}"/>
    <cellStyle name="Total 2 5 18 4" xfId="3731" xr:uid="{00000000-0005-0000-0000-0000C20E0000}"/>
    <cellStyle name="Total 2 5 19" xfId="3732" xr:uid="{00000000-0005-0000-0000-0000C30E0000}"/>
    <cellStyle name="Total 2 5 19 2" xfId="3733" xr:uid="{00000000-0005-0000-0000-0000C40E0000}"/>
    <cellStyle name="Total 2 5 19 3" xfId="3734" xr:uid="{00000000-0005-0000-0000-0000C50E0000}"/>
    <cellStyle name="Total 2 5 19 4" xfId="3735" xr:uid="{00000000-0005-0000-0000-0000C60E0000}"/>
    <cellStyle name="Total 2 5 2" xfId="3736" xr:uid="{00000000-0005-0000-0000-0000C70E0000}"/>
    <cellStyle name="Total 2 5 2 2" xfId="3737" xr:uid="{00000000-0005-0000-0000-0000C80E0000}"/>
    <cellStyle name="Total 2 5 2 3" xfId="3738" xr:uid="{00000000-0005-0000-0000-0000C90E0000}"/>
    <cellStyle name="Total 2 5 2 4" xfId="3739" xr:uid="{00000000-0005-0000-0000-0000CA0E0000}"/>
    <cellStyle name="Total 2 5 2 5" xfId="3740" xr:uid="{00000000-0005-0000-0000-0000CB0E0000}"/>
    <cellStyle name="Total 2 5 20" xfId="3741" xr:uid="{00000000-0005-0000-0000-0000CC0E0000}"/>
    <cellStyle name="Total 2 5 20 2" xfId="3742" xr:uid="{00000000-0005-0000-0000-0000CD0E0000}"/>
    <cellStyle name="Total 2 5 20 3" xfId="3743" xr:uid="{00000000-0005-0000-0000-0000CE0E0000}"/>
    <cellStyle name="Total 2 5 20 4" xfId="3744" xr:uid="{00000000-0005-0000-0000-0000CF0E0000}"/>
    <cellStyle name="Total 2 5 21" xfId="3745" xr:uid="{00000000-0005-0000-0000-0000D00E0000}"/>
    <cellStyle name="Total 2 5 3" xfId="3746" xr:uid="{00000000-0005-0000-0000-0000D10E0000}"/>
    <cellStyle name="Total 2 5 3 2" xfId="3747" xr:uid="{00000000-0005-0000-0000-0000D20E0000}"/>
    <cellStyle name="Total 2 5 3 3" xfId="3748" xr:uid="{00000000-0005-0000-0000-0000D30E0000}"/>
    <cellStyle name="Total 2 5 3 4" xfId="3749" xr:uid="{00000000-0005-0000-0000-0000D40E0000}"/>
    <cellStyle name="Total 2 5 3 5" xfId="3750" xr:uid="{00000000-0005-0000-0000-0000D50E0000}"/>
    <cellStyle name="Total 2 5 4" xfId="3751" xr:uid="{00000000-0005-0000-0000-0000D60E0000}"/>
    <cellStyle name="Total 2 5 4 2" xfId="3752" xr:uid="{00000000-0005-0000-0000-0000D70E0000}"/>
    <cellStyle name="Total 2 5 4 3" xfId="3753" xr:uid="{00000000-0005-0000-0000-0000D80E0000}"/>
    <cellStyle name="Total 2 5 4 4" xfId="3754" xr:uid="{00000000-0005-0000-0000-0000D90E0000}"/>
    <cellStyle name="Total 2 5 4 5" xfId="3755" xr:uid="{00000000-0005-0000-0000-0000DA0E0000}"/>
    <cellStyle name="Total 2 5 5" xfId="3756" xr:uid="{00000000-0005-0000-0000-0000DB0E0000}"/>
    <cellStyle name="Total 2 5 5 2" xfId="3757" xr:uid="{00000000-0005-0000-0000-0000DC0E0000}"/>
    <cellStyle name="Total 2 5 5 3" xfId="3758" xr:uid="{00000000-0005-0000-0000-0000DD0E0000}"/>
    <cellStyle name="Total 2 5 5 4" xfId="3759" xr:uid="{00000000-0005-0000-0000-0000DE0E0000}"/>
    <cellStyle name="Total 2 5 5 5" xfId="3760" xr:uid="{00000000-0005-0000-0000-0000DF0E0000}"/>
    <cellStyle name="Total 2 5 6" xfId="3761" xr:uid="{00000000-0005-0000-0000-0000E00E0000}"/>
    <cellStyle name="Total 2 5 6 2" xfId="3762" xr:uid="{00000000-0005-0000-0000-0000E10E0000}"/>
    <cellStyle name="Total 2 5 6 3" xfId="3763" xr:uid="{00000000-0005-0000-0000-0000E20E0000}"/>
    <cellStyle name="Total 2 5 6 4" xfId="3764" xr:uid="{00000000-0005-0000-0000-0000E30E0000}"/>
    <cellStyle name="Total 2 5 6 5" xfId="3765" xr:uid="{00000000-0005-0000-0000-0000E40E0000}"/>
    <cellStyle name="Total 2 5 7" xfId="3766" xr:uid="{00000000-0005-0000-0000-0000E50E0000}"/>
    <cellStyle name="Total 2 5 7 2" xfId="3767" xr:uid="{00000000-0005-0000-0000-0000E60E0000}"/>
    <cellStyle name="Total 2 5 7 3" xfId="3768" xr:uid="{00000000-0005-0000-0000-0000E70E0000}"/>
    <cellStyle name="Total 2 5 7 4" xfId="3769" xr:uid="{00000000-0005-0000-0000-0000E80E0000}"/>
    <cellStyle name="Total 2 5 7 5" xfId="3770" xr:uid="{00000000-0005-0000-0000-0000E90E0000}"/>
    <cellStyle name="Total 2 5 8" xfId="3771" xr:uid="{00000000-0005-0000-0000-0000EA0E0000}"/>
    <cellStyle name="Total 2 5 8 2" xfId="3772" xr:uid="{00000000-0005-0000-0000-0000EB0E0000}"/>
    <cellStyle name="Total 2 5 8 3" xfId="3773" xr:uid="{00000000-0005-0000-0000-0000EC0E0000}"/>
    <cellStyle name="Total 2 5 8 4" xfId="3774" xr:uid="{00000000-0005-0000-0000-0000ED0E0000}"/>
    <cellStyle name="Total 2 5 8 5" xfId="3775" xr:uid="{00000000-0005-0000-0000-0000EE0E0000}"/>
    <cellStyle name="Total 2 5 9" xfId="3776" xr:uid="{00000000-0005-0000-0000-0000EF0E0000}"/>
    <cellStyle name="Total 2 5 9 2" xfId="3777" xr:uid="{00000000-0005-0000-0000-0000F00E0000}"/>
    <cellStyle name="Total 2 5 9 3" xfId="3778" xr:uid="{00000000-0005-0000-0000-0000F10E0000}"/>
    <cellStyle name="Total 2 5 9 4" xfId="3779" xr:uid="{00000000-0005-0000-0000-0000F20E0000}"/>
    <cellStyle name="Total 2 5 9 5" xfId="3780" xr:uid="{00000000-0005-0000-0000-0000F30E0000}"/>
    <cellStyle name="Total 2 6" xfId="3781" xr:uid="{00000000-0005-0000-0000-0000F40E0000}"/>
    <cellStyle name="Total 2 6 10" xfId="3782" xr:uid="{00000000-0005-0000-0000-0000F50E0000}"/>
    <cellStyle name="Total 2 6 10 2" xfId="3783" xr:uid="{00000000-0005-0000-0000-0000F60E0000}"/>
    <cellStyle name="Total 2 6 10 3" xfId="3784" xr:uid="{00000000-0005-0000-0000-0000F70E0000}"/>
    <cellStyle name="Total 2 6 10 4" xfId="3785" xr:uid="{00000000-0005-0000-0000-0000F80E0000}"/>
    <cellStyle name="Total 2 6 10 5" xfId="3786" xr:uid="{00000000-0005-0000-0000-0000F90E0000}"/>
    <cellStyle name="Total 2 6 11" xfId="3787" xr:uid="{00000000-0005-0000-0000-0000FA0E0000}"/>
    <cellStyle name="Total 2 6 11 2" xfId="3788" xr:uid="{00000000-0005-0000-0000-0000FB0E0000}"/>
    <cellStyle name="Total 2 6 11 3" xfId="3789" xr:uid="{00000000-0005-0000-0000-0000FC0E0000}"/>
    <cellStyle name="Total 2 6 11 4" xfId="3790" xr:uid="{00000000-0005-0000-0000-0000FD0E0000}"/>
    <cellStyle name="Total 2 6 11 5" xfId="3791" xr:uid="{00000000-0005-0000-0000-0000FE0E0000}"/>
    <cellStyle name="Total 2 6 12" xfId="3792" xr:uid="{00000000-0005-0000-0000-0000FF0E0000}"/>
    <cellStyle name="Total 2 6 12 2" xfId="3793" xr:uid="{00000000-0005-0000-0000-0000000F0000}"/>
    <cellStyle name="Total 2 6 12 3" xfId="3794" xr:uid="{00000000-0005-0000-0000-0000010F0000}"/>
    <cellStyle name="Total 2 6 12 4" xfId="3795" xr:uid="{00000000-0005-0000-0000-0000020F0000}"/>
    <cellStyle name="Total 2 6 12 5" xfId="3796" xr:uid="{00000000-0005-0000-0000-0000030F0000}"/>
    <cellStyle name="Total 2 6 13" xfId="3797" xr:uid="{00000000-0005-0000-0000-0000040F0000}"/>
    <cellStyle name="Total 2 6 13 2" xfId="3798" xr:uid="{00000000-0005-0000-0000-0000050F0000}"/>
    <cellStyle name="Total 2 6 13 3" xfId="3799" xr:uid="{00000000-0005-0000-0000-0000060F0000}"/>
    <cellStyle name="Total 2 6 13 4" xfId="3800" xr:uid="{00000000-0005-0000-0000-0000070F0000}"/>
    <cellStyle name="Total 2 6 13 5" xfId="3801" xr:uid="{00000000-0005-0000-0000-0000080F0000}"/>
    <cellStyle name="Total 2 6 14" xfId="3802" xr:uid="{00000000-0005-0000-0000-0000090F0000}"/>
    <cellStyle name="Total 2 6 14 2" xfId="3803" xr:uid="{00000000-0005-0000-0000-00000A0F0000}"/>
    <cellStyle name="Total 2 6 14 3" xfId="3804" xr:uid="{00000000-0005-0000-0000-00000B0F0000}"/>
    <cellStyle name="Total 2 6 14 4" xfId="3805" xr:uid="{00000000-0005-0000-0000-00000C0F0000}"/>
    <cellStyle name="Total 2 6 14 5" xfId="3806" xr:uid="{00000000-0005-0000-0000-00000D0F0000}"/>
    <cellStyle name="Total 2 6 15" xfId="3807" xr:uid="{00000000-0005-0000-0000-00000E0F0000}"/>
    <cellStyle name="Total 2 6 15 2" xfId="3808" xr:uid="{00000000-0005-0000-0000-00000F0F0000}"/>
    <cellStyle name="Total 2 6 15 3" xfId="3809" xr:uid="{00000000-0005-0000-0000-0000100F0000}"/>
    <cellStyle name="Total 2 6 15 4" xfId="3810" xr:uid="{00000000-0005-0000-0000-0000110F0000}"/>
    <cellStyle name="Total 2 6 15 5" xfId="3811" xr:uid="{00000000-0005-0000-0000-0000120F0000}"/>
    <cellStyle name="Total 2 6 16" xfId="3812" xr:uid="{00000000-0005-0000-0000-0000130F0000}"/>
    <cellStyle name="Total 2 6 16 2" xfId="3813" xr:uid="{00000000-0005-0000-0000-0000140F0000}"/>
    <cellStyle name="Total 2 6 16 3" xfId="3814" xr:uid="{00000000-0005-0000-0000-0000150F0000}"/>
    <cellStyle name="Total 2 6 16 4" xfId="3815" xr:uid="{00000000-0005-0000-0000-0000160F0000}"/>
    <cellStyle name="Total 2 6 16 5" xfId="3816" xr:uid="{00000000-0005-0000-0000-0000170F0000}"/>
    <cellStyle name="Total 2 6 17" xfId="3817" xr:uid="{00000000-0005-0000-0000-0000180F0000}"/>
    <cellStyle name="Total 2 6 17 2" xfId="3818" xr:uid="{00000000-0005-0000-0000-0000190F0000}"/>
    <cellStyle name="Total 2 6 17 3" xfId="3819" xr:uid="{00000000-0005-0000-0000-00001A0F0000}"/>
    <cellStyle name="Total 2 6 17 4" xfId="3820" xr:uid="{00000000-0005-0000-0000-00001B0F0000}"/>
    <cellStyle name="Total 2 6 17 5" xfId="3821" xr:uid="{00000000-0005-0000-0000-00001C0F0000}"/>
    <cellStyle name="Total 2 6 18" xfId="3822" xr:uid="{00000000-0005-0000-0000-00001D0F0000}"/>
    <cellStyle name="Total 2 6 18 2" xfId="3823" xr:uid="{00000000-0005-0000-0000-00001E0F0000}"/>
    <cellStyle name="Total 2 6 18 3" xfId="3824" xr:uid="{00000000-0005-0000-0000-00001F0F0000}"/>
    <cellStyle name="Total 2 6 18 4" xfId="3825" xr:uid="{00000000-0005-0000-0000-0000200F0000}"/>
    <cellStyle name="Total 2 6 18 5" xfId="3826" xr:uid="{00000000-0005-0000-0000-0000210F0000}"/>
    <cellStyle name="Total 2 6 19" xfId="3827" xr:uid="{00000000-0005-0000-0000-0000220F0000}"/>
    <cellStyle name="Total 2 6 19 2" xfId="3828" xr:uid="{00000000-0005-0000-0000-0000230F0000}"/>
    <cellStyle name="Total 2 6 19 3" xfId="3829" xr:uid="{00000000-0005-0000-0000-0000240F0000}"/>
    <cellStyle name="Total 2 6 19 4" xfId="3830" xr:uid="{00000000-0005-0000-0000-0000250F0000}"/>
    <cellStyle name="Total 2 6 19 5" xfId="3831" xr:uid="{00000000-0005-0000-0000-0000260F0000}"/>
    <cellStyle name="Total 2 6 2" xfId="3832" xr:uid="{00000000-0005-0000-0000-0000270F0000}"/>
    <cellStyle name="Total 2 6 2 2" xfId="3833" xr:uid="{00000000-0005-0000-0000-0000280F0000}"/>
    <cellStyle name="Total 2 6 2 3" xfId="3834" xr:uid="{00000000-0005-0000-0000-0000290F0000}"/>
    <cellStyle name="Total 2 6 2 4" xfId="3835" xr:uid="{00000000-0005-0000-0000-00002A0F0000}"/>
    <cellStyle name="Total 2 6 2 5" xfId="3836" xr:uid="{00000000-0005-0000-0000-00002B0F0000}"/>
    <cellStyle name="Total 2 6 20" xfId="3837" xr:uid="{00000000-0005-0000-0000-00002C0F0000}"/>
    <cellStyle name="Total 2 6 20 2" xfId="3838" xr:uid="{00000000-0005-0000-0000-00002D0F0000}"/>
    <cellStyle name="Total 2 6 20 3" xfId="3839" xr:uid="{00000000-0005-0000-0000-00002E0F0000}"/>
    <cellStyle name="Total 2 6 20 4" xfId="3840" xr:uid="{00000000-0005-0000-0000-00002F0F0000}"/>
    <cellStyle name="Total 2 6 20 5" xfId="3841" xr:uid="{00000000-0005-0000-0000-0000300F0000}"/>
    <cellStyle name="Total 2 6 21" xfId="3842" xr:uid="{00000000-0005-0000-0000-0000310F0000}"/>
    <cellStyle name="Total 2 6 21 2" xfId="3843" xr:uid="{00000000-0005-0000-0000-0000320F0000}"/>
    <cellStyle name="Total 2 6 21 3" xfId="3844" xr:uid="{00000000-0005-0000-0000-0000330F0000}"/>
    <cellStyle name="Total 2 6 21 4" xfId="3845" xr:uid="{00000000-0005-0000-0000-0000340F0000}"/>
    <cellStyle name="Total 2 6 21 5" xfId="3846" xr:uid="{00000000-0005-0000-0000-0000350F0000}"/>
    <cellStyle name="Total 2 6 22" xfId="3847" xr:uid="{00000000-0005-0000-0000-0000360F0000}"/>
    <cellStyle name="Total 2 6 22 2" xfId="3848" xr:uid="{00000000-0005-0000-0000-0000370F0000}"/>
    <cellStyle name="Total 2 6 22 3" xfId="3849" xr:uid="{00000000-0005-0000-0000-0000380F0000}"/>
    <cellStyle name="Total 2 6 22 4" xfId="3850" xr:uid="{00000000-0005-0000-0000-0000390F0000}"/>
    <cellStyle name="Total 2 6 23" xfId="3851" xr:uid="{00000000-0005-0000-0000-00003A0F0000}"/>
    <cellStyle name="Total 2 6 23 2" xfId="3852" xr:uid="{00000000-0005-0000-0000-00003B0F0000}"/>
    <cellStyle name="Total 2 6 23 3" xfId="3853" xr:uid="{00000000-0005-0000-0000-00003C0F0000}"/>
    <cellStyle name="Total 2 6 23 4" xfId="3854" xr:uid="{00000000-0005-0000-0000-00003D0F0000}"/>
    <cellStyle name="Total 2 6 24" xfId="3855" xr:uid="{00000000-0005-0000-0000-00003E0F0000}"/>
    <cellStyle name="Total 2 6 24 2" xfId="3856" xr:uid="{00000000-0005-0000-0000-00003F0F0000}"/>
    <cellStyle name="Total 2 6 24 3" xfId="3857" xr:uid="{00000000-0005-0000-0000-0000400F0000}"/>
    <cellStyle name="Total 2 6 24 4" xfId="3858" xr:uid="{00000000-0005-0000-0000-0000410F0000}"/>
    <cellStyle name="Total 2 6 25" xfId="3859" xr:uid="{00000000-0005-0000-0000-0000420F0000}"/>
    <cellStyle name="Total 2 6 25 2" xfId="3860" xr:uid="{00000000-0005-0000-0000-0000430F0000}"/>
    <cellStyle name="Total 2 6 25 3" xfId="3861" xr:uid="{00000000-0005-0000-0000-0000440F0000}"/>
    <cellStyle name="Total 2 6 25 4" xfId="3862" xr:uid="{00000000-0005-0000-0000-0000450F0000}"/>
    <cellStyle name="Total 2 6 3" xfId="3863" xr:uid="{00000000-0005-0000-0000-0000460F0000}"/>
    <cellStyle name="Total 2 6 3 2" xfId="3864" xr:uid="{00000000-0005-0000-0000-0000470F0000}"/>
    <cellStyle name="Total 2 6 3 3" xfId="3865" xr:uid="{00000000-0005-0000-0000-0000480F0000}"/>
    <cellStyle name="Total 2 6 3 4" xfId="3866" xr:uid="{00000000-0005-0000-0000-0000490F0000}"/>
    <cellStyle name="Total 2 6 3 5" xfId="3867" xr:uid="{00000000-0005-0000-0000-00004A0F0000}"/>
    <cellStyle name="Total 2 6 4" xfId="3868" xr:uid="{00000000-0005-0000-0000-00004B0F0000}"/>
    <cellStyle name="Total 2 6 4 2" xfId="3869" xr:uid="{00000000-0005-0000-0000-00004C0F0000}"/>
    <cellStyle name="Total 2 6 4 3" xfId="3870" xr:uid="{00000000-0005-0000-0000-00004D0F0000}"/>
    <cellStyle name="Total 2 6 4 4" xfId="3871" xr:uid="{00000000-0005-0000-0000-00004E0F0000}"/>
    <cellStyle name="Total 2 6 4 5" xfId="3872" xr:uid="{00000000-0005-0000-0000-00004F0F0000}"/>
    <cellStyle name="Total 2 6 5" xfId="3873" xr:uid="{00000000-0005-0000-0000-0000500F0000}"/>
    <cellStyle name="Total 2 6 5 2" xfId="3874" xr:uid="{00000000-0005-0000-0000-0000510F0000}"/>
    <cellStyle name="Total 2 6 5 3" xfId="3875" xr:uid="{00000000-0005-0000-0000-0000520F0000}"/>
    <cellStyle name="Total 2 6 5 4" xfId="3876" xr:uid="{00000000-0005-0000-0000-0000530F0000}"/>
    <cellStyle name="Total 2 6 5 5" xfId="3877" xr:uid="{00000000-0005-0000-0000-0000540F0000}"/>
    <cellStyle name="Total 2 6 6" xfId="3878" xr:uid="{00000000-0005-0000-0000-0000550F0000}"/>
    <cellStyle name="Total 2 6 6 2" xfId="3879" xr:uid="{00000000-0005-0000-0000-0000560F0000}"/>
    <cellStyle name="Total 2 6 6 3" xfId="3880" xr:uid="{00000000-0005-0000-0000-0000570F0000}"/>
    <cellStyle name="Total 2 6 6 4" xfId="3881" xr:uid="{00000000-0005-0000-0000-0000580F0000}"/>
    <cellStyle name="Total 2 6 6 5" xfId="3882" xr:uid="{00000000-0005-0000-0000-0000590F0000}"/>
    <cellStyle name="Total 2 6 7" xfId="3883" xr:uid="{00000000-0005-0000-0000-00005A0F0000}"/>
    <cellStyle name="Total 2 6 7 2" xfId="3884" xr:uid="{00000000-0005-0000-0000-00005B0F0000}"/>
    <cellStyle name="Total 2 6 7 3" xfId="3885" xr:uid="{00000000-0005-0000-0000-00005C0F0000}"/>
    <cellStyle name="Total 2 6 7 4" xfId="3886" xr:uid="{00000000-0005-0000-0000-00005D0F0000}"/>
    <cellStyle name="Total 2 6 7 5" xfId="3887" xr:uid="{00000000-0005-0000-0000-00005E0F0000}"/>
    <cellStyle name="Total 2 6 8" xfId="3888" xr:uid="{00000000-0005-0000-0000-00005F0F0000}"/>
    <cellStyle name="Total 2 6 8 2" xfId="3889" xr:uid="{00000000-0005-0000-0000-0000600F0000}"/>
    <cellStyle name="Total 2 6 8 3" xfId="3890" xr:uid="{00000000-0005-0000-0000-0000610F0000}"/>
    <cellStyle name="Total 2 6 8 4" xfId="3891" xr:uid="{00000000-0005-0000-0000-0000620F0000}"/>
    <cellStyle name="Total 2 6 8 5" xfId="3892" xr:uid="{00000000-0005-0000-0000-0000630F0000}"/>
    <cellStyle name="Total 2 6 9" xfId="3893" xr:uid="{00000000-0005-0000-0000-0000640F0000}"/>
    <cellStyle name="Total 2 6 9 2" xfId="3894" xr:uid="{00000000-0005-0000-0000-0000650F0000}"/>
    <cellStyle name="Total 2 6 9 3" xfId="3895" xr:uid="{00000000-0005-0000-0000-0000660F0000}"/>
    <cellStyle name="Total 2 6 9 4" xfId="3896" xr:uid="{00000000-0005-0000-0000-0000670F0000}"/>
    <cellStyle name="Total 2 6 9 5" xfId="3897" xr:uid="{00000000-0005-0000-0000-0000680F0000}"/>
    <cellStyle name="Total 2 7" xfId="3898" xr:uid="{00000000-0005-0000-0000-0000690F0000}"/>
    <cellStyle name="Total 2 7 2" xfId="3899" xr:uid="{00000000-0005-0000-0000-00006A0F0000}"/>
    <cellStyle name="Total 2 7 3" xfId="3900" xr:uid="{00000000-0005-0000-0000-00006B0F0000}"/>
    <cellStyle name="Total 2 7 4" xfId="3901" xr:uid="{00000000-0005-0000-0000-00006C0F0000}"/>
    <cellStyle name="Total 2 7 5" xfId="3902" xr:uid="{00000000-0005-0000-0000-00006D0F0000}"/>
    <cellStyle name="Total 2 8" xfId="3903" xr:uid="{00000000-0005-0000-0000-00006E0F0000}"/>
    <cellStyle name="Total 2 8 2" xfId="3904" xr:uid="{00000000-0005-0000-0000-00006F0F0000}"/>
    <cellStyle name="Total 2 8 3" xfId="3905" xr:uid="{00000000-0005-0000-0000-0000700F0000}"/>
    <cellStyle name="Total 2 8 4" xfId="3906" xr:uid="{00000000-0005-0000-0000-0000710F0000}"/>
    <cellStyle name="Total 2 8 5" xfId="3907" xr:uid="{00000000-0005-0000-0000-0000720F0000}"/>
    <cellStyle name="Total 2 9" xfId="3908" xr:uid="{00000000-0005-0000-0000-0000730F0000}"/>
    <cellStyle name="Total 2 9 2" xfId="3909" xr:uid="{00000000-0005-0000-0000-0000740F0000}"/>
    <cellStyle name="Total 2 9 3" xfId="3910" xr:uid="{00000000-0005-0000-0000-0000750F0000}"/>
    <cellStyle name="Total 2 9 4" xfId="3911" xr:uid="{00000000-0005-0000-0000-0000760F0000}"/>
    <cellStyle name="Total 2 9 5" xfId="3912" xr:uid="{00000000-0005-0000-0000-0000770F0000}"/>
    <cellStyle name="TotalStyleCurrency" xfId="3913" xr:uid="{00000000-0005-0000-0000-0000780F0000}"/>
    <cellStyle name="TotalStyleText" xfId="3914" xr:uid="{00000000-0005-0000-0000-0000790F0000}"/>
    <cellStyle name="u5shares" xfId="179" xr:uid="{00000000-0005-0000-0000-00007A0F0000}"/>
    <cellStyle name="Variable assumptions" xfId="180" xr:uid="{00000000-0005-0000-0000-00007B0F0000}"/>
    <cellStyle name="Warning Text 2" xfId="181" xr:uid="{00000000-0005-0000-0000-00007C0F0000}"/>
    <cellStyle name="Warning Text 2 2" xfId="3915" xr:uid="{00000000-0005-0000-0000-00007D0F0000}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numFmt numFmtId="176" formatCode="&quot;-&quot;"/>
    </dxf>
    <dxf>
      <font>
        <color rgb="FFFF0000"/>
      </font>
    </dxf>
    <dxf>
      <numFmt numFmtId="176" formatCode="&quot;-&quot;"/>
    </dxf>
    <dxf>
      <font>
        <b/>
        <i/>
        <color rgb="FFFF0000"/>
      </font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numFmt numFmtId="176" formatCode="&quot;-&quot;"/>
    </dxf>
    <dxf>
      <font>
        <color rgb="FFFF0000"/>
      </font>
    </dxf>
    <dxf>
      <numFmt numFmtId="176" formatCode="&quot;-&quot;"/>
    </dxf>
  </dxfs>
  <tableStyles count="0" defaultTableStyle="TableStyleMedium2" defaultPivotStyle="PivotStyleLight16"/>
  <colors>
    <mruColors>
      <color rgb="FFFFFFCC"/>
      <color rgb="FFCCCCFF"/>
      <color rgb="FFD00070"/>
      <color rgb="FF3C3C3B"/>
      <color rgb="FF84329B"/>
      <color rgb="FF99FFCC"/>
      <color rgb="FFFFCCFF"/>
      <color rgb="FF99CCFF"/>
      <color rgb="FFFDE8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288390</xdr:colOff>
      <xdr:row>0</xdr:row>
      <xdr:rowOff>176894</xdr:rowOff>
    </xdr:from>
    <xdr:to>
      <xdr:col>18</xdr:col>
      <xdr:colOff>132181</xdr:colOff>
      <xdr:row>3</xdr:row>
      <xdr:rowOff>218985</xdr:rowOff>
    </xdr:to>
    <xdr:pic>
      <xdr:nvPicPr>
        <xdr:cNvPr id="5" name="Picture 4" descr="Birmingham City Council">
          <a:extLst>
            <a:ext uri="{FF2B5EF4-FFF2-40B4-BE49-F238E27FC236}">
              <a16:creationId xmlns:a16="http://schemas.microsoft.com/office/drawing/2014/main" id="{92F6C8E5-89AD-DAB4-20F7-17CDDA0E79B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51497" y="176894"/>
          <a:ext cx="4310744" cy="979714"/>
        </a:xfrm>
        <a:prstGeom prst="rect">
          <a:avLst/>
        </a:prstGeom>
      </xdr:spPr>
    </xdr:pic>
    <xdr:clientData/>
  </xdr:twoCellAnchor>
  <xdr:twoCellAnchor editAs="oneCell">
    <xdr:from>
      <xdr:col>14</xdr:col>
      <xdr:colOff>176892</xdr:colOff>
      <xdr:row>4</xdr:row>
      <xdr:rowOff>108857</xdr:rowOff>
    </xdr:from>
    <xdr:to>
      <xdr:col>18</xdr:col>
      <xdr:colOff>371878</xdr:colOff>
      <xdr:row>6</xdr:row>
      <xdr:rowOff>162015</xdr:rowOff>
    </xdr:to>
    <xdr:pic>
      <xdr:nvPicPr>
        <xdr:cNvPr id="2" name="Picture 1" descr="Reset Reshape Restart">
          <a:extLst>
            <a:ext uri="{FF2B5EF4-FFF2-40B4-BE49-F238E27FC236}">
              <a16:creationId xmlns:a16="http://schemas.microsoft.com/office/drawing/2014/main" id="{FCC252E5-C559-5AA7-9181-3D5B677082B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999" y="1292678"/>
          <a:ext cx="4663209" cy="5442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eron Birkett" id="{6976757E-C441-48A1-8570-B569C0B2CAC7}" userId="S::Cameron.Birkett@birmingham.gov.uk::92177288-7bf8-432f-b8e4-24cf83a0a80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J59" dT="2024-12-02T13:26:34.57" personId="{6976757E-C441-48A1-8570-B569C0B2CAC7}" id="{75E94A4C-C25E-4F7A-9789-74F397D5908B}">
    <text>Need to locate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V125" dT="2024-10-17T13:30:49.55" personId="{6976757E-C441-48A1-8570-B569C0B2CAC7}" id="{66D6ECA4-6A09-4FE7-B87B-B618E1341476}">
    <text>Paid direct to academy</text>
  </threadedComment>
  <threadedComment ref="AV153" dT="2024-10-17T13:30:58.54" personId="{6976757E-C441-48A1-8570-B569C0B2CAC7}" id="{5D546243-3F4B-4EE7-826C-933D75525B08}">
    <text>Paid direct to academy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41" dT="2025-09-12T08:11:14.18" personId="{6976757E-C441-48A1-8570-B569C0B2CAC7}" id="{962A72F4-5BBE-48DE-8F56-FE9538D0869F}">
    <text>9/12 to be deducted in current year, remaining 3/12 to be deducted in 26/27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publications/universal-infant-free-school-meals-uifsm-2023-to-2024" TargetMode="External"/><Relationship Id="rId13" Type="http://schemas.openxmlformats.org/officeDocument/2006/relationships/hyperlink" Target="https://www.gov.uk/government/publications/teachers-pay-additional-grant-2024-to-2025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senior-mental-health-lead-training-grant-funding" TargetMode="External"/><Relationship Id="rId7" Type="http://schemas.openxmlformats.org/officeDocument/2006/relationships/hyperlink" Target="https://www.gov.uk/government/publications/coronavirus-covid-19-recovery-premium-funding-allocations-and-conditions-of-grant-2023-to-2024" TargetMode="External"/><Relationship Id="rId12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17" Type="http://schemas.openxmlformats.org/officeDocument/2006/relationships/hyperlink" Target="https://www.gov.uk/government/publications/early-years-expansion-grant-2025-to-2026" TargetMode="External"/><Relationship Id="rId2" Type="http://schemas.openxmlformats.org/officeDocument/2006/relationships/hyperlink" Target="https://www.gov.uk/government/publications/teachers-pay-additional-grant-2024-to-2025" TargetMode="External"/><Relationship Id="rId16" Type="http://schemas.openxmlformats.org/officeDocument/2006/relationships/hyperlink" Target="https://www.gov.uk/government/publications/breakfast-club-early-adopters-grant-2024-to-2025-academic-year" TargetMode="External"/><Relationship Id="rId1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6" Type="http://schemas.openxmlformats.org/officeDocument/2006/relationships/hyperlink" Target="https://www.gov.uk/government/publications/pupil-premium-allocations-and-conditions-of-grant-2024-to-2025" TargetMode="External"/><Relationship Id="rId11" Type="http://schemas.openxmlformats.org/officeDocument/2006/relationships/hyperlink" Target="https://www.gov.uk/government/publications/teachers-pension-scheme-employer-contribution-grant-for-maintained-schools-and-academies-with-16-to-19-provision-2024-to-2025" TargetMode="External"/><Relationship Id="rId5" Type="http://schemas.openxmlformats.org/officeDocument/2006/relationships/hyperlink" Target="https://www.gov.uk/government/publications/pe-and-sport-premium-conditions-of-grant-2023-to-2024" TargetMode="External"/><Relationship Id="rId15" Type="http://schemas.openxmlformats.org/officeDocument/2006/relationships/hyperlink" Target="https://www.gov.uk/government/publications/core-schools-budget-grant-csbg-2025-to-2026-for-special-schools-and-alternative-provision" TargetMode="External"/><Relationship Id="rId10" Type="http://schemas.openxmlformats.org/officeDocument/2006/relationships/hyperlink" Target="https://www.gov.uk/government/publications/targeted-support-funding-for-national-professional-qualifications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gov.uk/government/publications/national-tutoring-programme-ntp-allocations-for-2023-to-2024-academic-year" TargetMode="External"/><Relationship Id="rId9" Type="http://schemas.openxmlformats.org/officeDocument/2006/relationships/hyperlink" Target="https://www.gov.uk/government/publications/universal-infant-free-school-meals-uifsm-2024-to-2025" TargetMode="External"/><Relationship Id="rId14" Type="http://schemas.openxmlformats.org/officeDocument/2006/relationships/hyperlink" Target="https://www.gov.uk/government/publications/post-16-schools-budget-gra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../AppData/:x:/s/SchoolFairfundingTeam/EdCeV4MrQQtHgjRDel0zs4oBrXLTDSNubfSIfx4XuCVbSg?e=8btP32" TargetMode="External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AF142"/>
  <sheetViews>
    <sheetView showGridLines="0" tabSelected="1" zoomScale="70" zoomScaleNormal="70" zoomScaleSheetLayoutView="90" workbookViewId="0">
      <selection activeCell="M36" sqref="M36"/>
    </sheetView>
  </sheetViews>
  <sheetFormatPr defaultRowHeight="14.5"/>
  <cols>
    <col min="1" max="1" width="1.7265625" customWidth="1"/>
    <col min="2" max="2" width="5.7265625" customWidth="1"/>
    <col min="3" max="3" width="57.81640625" customWidth="1"/>
    <col min="4" max="4" width="26" bestFit="1" customWidth="1"/>
    <col min="5" max="5" width="17.1796875" customWidth="1"/>
    <col min="6" max="6" width="17.7265625" customWidth="1"/>
    <col min="7" max="7" width="16.453125" customWidth="1"/>
    <col min="8" max="18" width="16.7265625" customWidth="1"/>
    <col min="19" max="19" width="17.26953125" customWidth="1"/>
    <col min="20" max="20" width="2" customWidth="1"/>
    <col min="21" max="21" width="1.7265625" customWidth="1"/>
    <col min="22" max="22" width="21.453125" bestFit="1" customWidth="1"/>
    <col min="23" max="23" width="25" customWidth="1"/>
    <col min="24" max="24" width="9.1796875" customWidth="1"/>
  </cols>
  <sheetData>
    <row r="1" spans="2:24" ht="25" customHeight="1">
      <c r="B1" s="180"/>
      <c r="C1" s="200" t="s">
        <v>452</v>
      </c>
      <c r="D1" s="201"/>
      <c r="E1" s="201"/>
      <c r="F1" s="181"/>
      <c r="G1" s="181"/>
      <c r="H1" s="181"/>
      <c r="I1" s="181"/>
      <c r="J1" s="181"/>
      <c r="K1" s="181"/>
      <c r="L1" s="181"/>
      <c r="M1" s="181"/>
      <c r="N1" s="182"/>
      <c r="O1" s="182"/>
      <c r="P1" s="183"/>
      <c r="Q1" s="183"/>
      <c r="R1" s="183"/>
      <c r="S1" s="183"/>
      <c r="T1" s="184"/>
      <c r="X1" s="7"/>
    </row>
    <row r="2" spans="2:24" ht="25" customHeight="1">
      <c r="B2" s="185"/>
      <c r="C2" s="202" t="s">
        <v>498</v>
      </c>
      <c r="D2" s="203"/>
      <c r="E2" s="203"/>
      <c r="F2" s="186"/>
      <c r="G2" s="186"/>
      <c r="H2" s="186"/>
      <c r="I2" s="186"/>
      <c r="J2" s="186"/>
      <c r="K2" s="186"/>
      <c r="L2" s="186"/>
      <c r="M2" s="186"/>
      <c r="N2" s="187"/>
      <c r="O2" s="187"/>
      <c r="P2" s="187"/>
      <c r="Q2" s="187"/>
      <c r="R2" s="187"/>
      <c r="S2" s="187"/>
      <c r="T2" s="188"/>
    </row>
    <row r="3" spans="2:24" ht="25" customHeight="1">
      <c r="B3" s="185"/>
      <c r="C3" s="203"/>
      <c r="D3" s="203"/>
      <c r="E3" s="203"/>
      <c r="F3" s="186"/>
      <c r="G3" s="186"/>
      <c r="H3" s="186"/>
      <c r="I3" s="186"/>
      <c r="J3" s="186"/>
      <c r="K3" s="186"/>
      <c r="L3" s="186"/>
      <c r="M3" s="186"/>
      <c r="N3" s="187"/>
      <c r="O3" s="187"/>
      <c r="P3" s="187"/>
      <c r="Q3" s="187"/>
      <c r="R3" s="187"/>
      <c r="S3" s="187"/>
      <c r="T3" s="188"/>
    </row>
    <row r="4" spans="2:24" ht="18.5">
      <c r="B4" s="185"/>
      <c r="C4" s="202" t="s">
        <v>23</v>
      </c>
      <c r="D4" s="231">
        <f>VLOOKUP($D$6,Lookup!A:C,2,FALSE)</f>
        <v>3310</v>
      </c>
      <c r="E4" s="203"/>
      <c r="F4" s="186"/>
      <c r="G4" s="186"/>
      <c r="H4" s="186"/>
      <c r="I4" s="186"/>
      <c r="J4" s="186"/>
      <c r="K4" s="186"/>
      <c r="L4" s="186"/>
      <c r="M4" s="186"/>
      <c r="N4" s="187"/>
      <c r="O4" s="187"/>
      <c r="P4" s="187"/>
      <c r="Q4" s="187"/>
      <c r="R4" s="187"/>
      <c r="S4" s="187"/>
      <c r="T4" s="188"/>
    </row>
    <row r="5" spans="2:24" ht="18.5">
      <c r="B5" s="185"/>
      <c r="C5" s="202" t="s">
        <v>451</v>
      </c>
      <c r="D5" s="231">
        <f>VLOOKUP($D$6,Lookup!A:D,3,FALSE)</f>
        <v>103417</v>
      </c>
      <c r="E5" s="203"/>
      <c r="F5" s="186"/>
      <c r="G5" s="186"/>
      <c r="H5" s="186"/>
      <c r="I5" s="186"/>
      <c r="J5" s="186"/>
      <c r="K5" s="186"/>
      <c r="L5" s="186"/>
      <c r="M5" s="186"/>
      <c r="N5" s="187"/>
      <c r="O5" s="187"/>
      <c r="P5" s="187"/>
      <c r="Q5" s="187"/>
      <c r="R5" s="187"/>
      <c r="S5" s="187"/>
      <c r="T5" s="188"/>
    </row>
    <row r="6" spans="2:24" ht="18.5">
      <c r="B6" s="185"/>
      <c r="C6" s="202" t="s">
        <v>24</v>
      </c>
      <c r="D6" s="232" t="s">
        <v>21</v>
      </c>
      <c r="E6" s="203"/>
      <c r="F6" s="186"/>
      <c r="G6" s="186"/>
      <c r="H6" s="186"/>
      <c r="I6" s="186"/>
      <c r="J6" s="186"/>
      <c r="K6" s="186"/>
      <c r="L6" s="186"/>
      <c r="M6" s="186"/>
      <c r="N6" s="187"/>
      <c r="O6" s="187"/>
      <c r="P6" s="187"/>
      <c r="Q6" s="187"/>
      <c r="R6" s="187"/>
      <c r="S6" s="187"/>
      <c r="T6" s="188"/>
    </row>
    <row r="7" spans="2:24" ht="15" thickBot="1">
      <c r="B7" s="189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2"/>
    </row>
    <row r="8" spans="2:24">
      <c r="C8" s="1"/>
      <c r="D8" s="7"/>
    </row>
    <row r="9" spans="2:24" ht="19" thickBot="1">
      <c r="C9" s="8"/>
      <c r="D9" s="7"/>
      <c r="F9" s="204"/>
      <c r="G9" s="38"/>
      <c r="I9" s="38"/>
      <c r="S9" s="23"/>
    </row>
    <row r="10" spans="2:24"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T10" s="13"/>
    </row>
    <row r="11" spans="2:24" ht="18.5">
      <c r="B11" s="14"/>
      <c r="C11" s="8" t="s">
        <v>25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T11" s="15"/>
    </row>
    <row r="12" spans="2:24">
      <c r="B12" s="14"/>
      <c r="C12" s="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T12" s="15"/>
    </row>
    <row r="13" spans="2:24" ht="31">
      <c r="B13" s="14"/>
      <c r="C13" s="16" t="s">
        <v>26</v>
      </c>
      <c r="D13" s="52" t="s">
        <v>27</v>
      </c>
      <c r="E13" s="52" t="s">
        <v>28</v>
      </c>
      <c r="F13" s="52" t="s">
        <v>29</v>
      </c>
      <c r="G13" s="52" t="s">
        <v>30</v>
      </c>
      <c r="H13" s="52" t="s">
        <v>31</v>
      </c>
      <c r="I13" s="52" t="s">
        <v>32</v>
      </c>
      <c r="J13" s="52" t="s">
        <v>33</v>
      </c>
      <c r="K13" s="52" t="s">
        <v>34</v>
      </c>
      <c r="L13" s="52" t="s">
        <v>35</v>
      </c>
      <c r="M13" s="52" t="s">
        <v>36</v>
      </c>
      <c r="N13" s="52" t="s">
        <v>37</v>
      </c>
      <c r="O13" s="52" t="s">
        <v>38</v>
      </c>
      <c r="P13" s="52" t="s">
        <v>39</v>
      </c>
      <c r="Q13" s="52" t="s">
        <v>40</v>
      </c>
      <c r="R13" s="52" t="s">
        <v>41</v>
      </c>
      <c r="S13" s="144"/>
      <c r="T13" s="65"/>
      <c r="U13" s="45"/>
      <c r="V13" s="126"/>
      <c r="W13" s="127"/>
    </row>
    <row r="14" spans="2:24" ht="18" customHeight="1">
      <c r="B14" s="14"/>
      <c r="C14" s="18" t="s">
        <v>42</v>
      </c>
      <c r="D14" s="54">
        <f>_xlfn.IFNA(VLOOKUP($D$4,HN!$A$8:$BM$301,5,FALSE),0)</f>
        <v>0</v>
      </c>
      <c r="E14" s="109"/>
      <c r="F14" s="109"/>
      <c r="G14" s="109"/>
      <c r="H14" s="109"/>
      <c r="I14" s="109"/>
      <c r="J14" s="109">
        <f>_xlfn.IFNA(VLOOKUP($D$4,HN!$A$8:$BM$301,23,FALSE),0)</f>
        <v>0</v>
      </c>
      <c r="K14" s="109">
        <f>+_xlfn.IFNA(VLOOKUP($D$4,HN!$A$8:$BM$301,24,FALSE),0)</f>
        <v>0</v>
      </c>
      <c r="L14" s="109">
        <f>_xlfn.IFNA(VLOOKUP($D$4,HN!$A$8:$BM$301,27,FALSE),0)</f>
        <v>0</v>
      </c>
      <c r="M14" s="109"/>
      <c r="N14" s="109"/>
      <c r="O14" s="109"/>
      <c r="P14" s="109"/>
      <c r="Q14" s="109"/>
      <c r="R14" s="109">
        <f>SUM(D14:Q14)</f>
        <v>0</v>
      </c>
      <c r="S14" s="145"/>
      <c r="T14" s="118"/>
      <c r="U14" s="45"/>
      <c r="V14" s="45"/>
      <c r="W14" s="127"/>
    </row>
    <row r="15" spans="2:24" ht="18" customHeight="1">
      <c r="B15" s="14"/>
      <c r="C15" s="18" t="s">
        <v>43</v>
      </c>
      <c r="D15" s="54">
        <f>_xlfn.IFNA(VLOOKUP($D$4,HN!$A$8:$BM$301,6,FALSE),0)</f>
        <v>0</v>
      </c>
      <c r="E15" s="109">
        <f>_xlfn.IFNA(VLOOKUP($D$4,HN!$A$8:$BM$214,10,FALSE),0)+_xlfn.IFNA(VLOOKUP($D$4,HN!$A$8:$BM$214,11,FALSE),0)</f>
        <v>0</v>
      </c>
      <c r="F15" s="90"/>
      <c r="G15" s="109"/>
      <c r="H15" s="109"/>
      <c r="J15" s="91"/>
      <c r="K15" s="91">
        <f>+_xlfn.IFNA(VLOOKUP($D$4,HN!$A$8:$BM$301,25,FALSE),0)</f>
        <v>0</v>
      </c>
      <c r="L15" s="109">
        <f>_xlfn.IFNA(VLOOKUP($D$4,HN!$A$8:$BM$301,28,FALSE),0)</f>
        <v>0</v>
      </c>
      <c r="M15" s="91"/>
      <c r="N15" s="91"/>
      <c r="O15" s="91"/>
      <c r="P15" s="91"/>
      <c r="Q15" s="91"/>
      <c r="R15" s="109">
        <f t="shared" ref="R15:R26" si="0">SUM(D15:Q15)</f>
        <v>0</v>
      </c>
      <c r="S15" s="145"/>
      <c r="T15" s="118"/>
      <c r="U15" s="45"/>
      <c r="V15" s="45"/>
      <c r="W15" s="127"/>
    </row>
    <row r="16" spans="2:24" ht="18" customHeight="1">
      <c r="B16" s="14"/>
      <c r="C16" s="18" t="s">
        <v>44</v>
      </c>
      <c r="D16" s="54">
        <f>_xlfn.IFNA(VLOOKUP($D$4,HN!$A$8:$BM$301,7,FALSE),0)</f>
        <v>0</v>
      </c>
      <c r="E16" s="54"/>
      <c r="F16" s="90"/>
      <c r="G16" s="109"/>
      <c r="H16" s="109"/>
      <c r="I16" s="109"/>
      <c r="J16" s="91"/>
      <c r="K16" s="91">
        <f>+_xlfn.IFNA(VLOOKUP($D$4,HN!$A$8:$BM$301,26,FALSE),0)</f>
        <v>0</v>
      </c>
      <c r="L16" s="109"/>
      <c r="M16" s="91"/>
      <c r="N16" s="91"/>
      <c r="O16" s="91"/>
      <c r="P16" s="91"/>
      <c r="Q16" s="91"/>
      <c r="R16" s="109">
        <f t="shared" si="0"/>
        <v>0</v>
      </c>
      <c r="S16" s="145"/>
      <c r="T16" s="118"/>
      <c r="U16" s="45"/>
      <c r="V16" s="45"/>
      <c r="W16" s="127"/>
    </row>
    <row r="17" spans="2:32" ht="18" customHeight="1">
      <c r="B17" s="14"/>
      <c r="C17" s="18" t="s">
        <v>45</v>
      </c>
      <c r="D17" s="54">
        <f>_xlfn.IFNA(VLOOKUP($D$4,HN!$A$8:$BM$301,15,FALSE),0)</f>
        <v>0</v>
      </c>
      <c r="E17" s="109"/>
      <c r="F17" s="90"/>
      <c r="G17" s="109"/>
      <c r="H17" s="91"/>
      <c r="I17" s="109"/>
      <c r="J17" s="91"/>
      <c r="K17" s="91"/>
      <c r="L17" s="91"/>
      <c r="M17" s="91"/>
      <c r="N17" s="91"/>
      <c r="O17" s="91"/>
      <c r="P17" s="91"/>
      <c r="Q17" s="91"/>
      <c r="R17" s="109">
        <f t="shared" si="0"/>
        <v>0</v>
      </c>
      <c r="S17" s="145"/>
      <c r="T17" s="118"/>
      <c r="U17" s="45"/>
      <c r="V17" s="45"/>
      <c r="W17" s="127"/>
    </row>
    <row r="18" spans="2:32" ht="18" customHeight="1">
      <c r="B18" s="14"/>
      <c r="C18" s="18" t="s">
        <v>46</v>
      </c>
      <c r="D18" s="54">
        <f>_xlfn.IFNA(VLOOKUP($D$4,HN!$A$8:$BM$301,16,FALSE),0)</f>
        <v>0</v>
      </c>
      <c r="E18" s="90"/>
      <c r="F18" s="109"/>
      <c r="G18" s="109"/>
      <c r="H18" s="91">
        <f>_xlfn.IFNA(VLOOKUP(D4,HN!A:U,21,FALSE),0)</f>
        <v>0</v>
      </c>
      <c r="I18" s="109"/>
      <c r="J18" s="91"/>
      <c r="K18" s="91">
        <f>_xlfn.IFNA(VLOOKUP(D4,HN!A:AZ,22,FALSE),0)</f>
        <v>0</v>
      </c>
      <c r="L18" s="91">
        <f>_xlfn.IFNA(VLOOKUP($D$4,HN!$A$8:$BM$301,29,FALSE),0)</f>
        <v>0</v>
      </c>
      <c r="M18" s="91"/>
      <c r="N18" s="91"/>
      <c r="O18" s="91"/>
      <c r="P18" s="91"/>
      <c r="Q18" s="91"/>
      <c r="R18" s="109">
        <f t="shared" si="0"/>
        <v>0</v>
      </c>
      <c r="S18" s="145"/>
      <c r="T18" s="118"/>
      <c r="U18" s="45"/>
      <c r="V18" s="45"/>
      <c r="W18" s="127"/>
    </row>
    <row r="19" spans="2:32" ht="18" customHeight="1">
      <c r="B19" s="14"/>
      <c r="C19" s="18" t="s">
        <v>455</v>
      </c>
      <c r="D19" s="54">
        <f>_xlfn.IFNA(VLOOKUP($D$4,HN!$A$8:$BM$301,17,FALSE),0)</f>
        <v>0</v>
      </c>
      <c r="E19" s="90"/>
      <c r="F19" s="109"/>
      <c r="G19" s="109"/>
      <c r="H19" s="91"/>
      <c r="I19" s="109"/>
      <c r="J19" s="91"/>
      <c r="K19" s="91"/>
      <c r="L19" s="91"/>
      <c r="M19" s="91"/>
      <c r="N19" s="91"/>
      <c r="O19" s="91"/>
      <c r="P19" s="91"/>
      <c r="Q19" s="91"/>
      <c r="R19" s="109">
        <f t="shared" si="0"/>
        <v>0</v>
      </c>
      <c r="S19" s="145"/>
      <c r="T19" s="118"/>
      <c r="U19" s="45"/>
      <c r="V19" s="45"/>
      <c r="W19" s="127"/>
    </row>
    <row r="20" spans="2:32" ht="18" customHeight="1">
      <c r="B20" s="14"/>
      <c r="C20" s="18" t="s">
        <v>47</v>
      </c>
      <c r="D20" s="54"/>
      <c r="E20" s="90">
        <f>_xlfn.IFNA(VLOOKUP($D$4,EY!$A:$AF,6,FALSE),0)</f>
        <v>0</v>
      </c>
      <c r="F20" s="109"/>
      <c r="G20" s="109"/>
      <c r="H20" s="2"/>
      <c r="I20" s="91">
        <f>_xlfn.IFNA(VLOOKUP($D$4,EY!$A:$ZY,50,FALSE),0)</f>
        <v>0</v>
      </c>
      <c r="J20" s="91">
        <f>_xlfn.IFNA(VLOOKUP($D$4,EY!$A:$AF,15,FALSE),0)</f>
        <v>0</v>
      </c>
      <c r="K20" s="2"/>
      <c r="L20" s="91"/>
      <c r="M20" s="91"/>
      <c r="N20" s="91">
        <f>_xlfn.IFNA(VLOOKUP($D$4,EY!$A:$AR,24,FALSE),0)</f>
        <v>0</v>
      </c>
      <c r="O20" s="91"/>
      <c r="P20" s="91"/>
      <c r="Q20" s="91"/>
      <c r="R20" s="109">
        <f t="shared" si="0"/>
        <v>0</v>
      </c>
      <c r="S20" s="145"/>
      <c r="T20" s="118"/>
      <c r="U20" s="45"/>
      <c r="V20" s="45"/>
      <c r="W20" s="127"/>
    </row>
    <row r="21" spans="2:32" ht="18" customHeight="1">
      <c r="B21" s="14"/>
      <c r="C21" s="18" t="s">
        <v>48</v>
      </c>
      <c r="D21" s="54"/>
      <c r="E21" s="109">
        <f>_xlfn.IFNA(VLOOKUP($D$4,EY!$A:$AF,7,FALSE),0)</f>
        <v>0</v>
      </c>
      <c r="F21" s="109"/>
      <c r="G21" s="109"/>
      <c r="H21" s="109"/>
      <c r="I21" s="91">
        <f>_xlfn.IFNA(VLOOKUP($D$4,EY!$A:$ZY,51,FALSE),0)</f>
        <v>0</v>
      </c>
      <c r="J21" s="91">
        <f>_xlfn.IFNA(VLOOKUP($D$4,EY!$A:$AF,16,FALSE),0)</f>
        <v>0</v>
      </c>
      <c r="K21" s="91"/>
      <c r="L21" s="91"/>
      <c r="M21" s="91"/>
      <c r="N21" s="91">
        <f>_xlfn.IFNA(VLOOKUP($D$4,EY!$A:$AR,25,FALSE),0)</f>
        <v>0</v>
      </c>
      <c r="O21" s="91"/>
      <c r="P21" s="91"/>
      <c r="Q21" s="91"/>
      <c r="R21" s="109">
        <f t="shared" si="0"/>
        <v>0</v>
      </c>
      <c r="S21" s="145"/>
      <c r="T21" s="118"/>
      <c r="U21" s="45"/>
      <c r="V21" s="45"/>
      <c r="W21" s="127"/>
    </row>
    <row r="22" spans="2:32" ht="18" customHeight="1">
      <c r="B22" s="14"/>
      <c r="C22" s="18" t="s">
        <v>49</v>
      </c>
      <c r="D22" s="54"/>
      <c r="E22" s="109">
        <f>_xlfn.IFNA(VLOOKUP($D$4,EY!$A:$AF,8,FALSE),0)</f>
        <v>0</v>
      </c>
      <c r="F22" s="139"/>
      <c r="G22" s="109"/>
      <c r="H22" s="109"/>
      <c r="I22" s="91">
        <f>_xlfn.IFNA(VLOOKUP($D$4,EY!$A:$ZY,52,FALSE),0)</f>
        <v>0</v>
      </c>
      <c r="J22" s="91">
        <f>_xlfn.IFNA(VLOOKUP($D$4,EY!$A:$AF,17,FALSE),0)</f>
        <v>18762.900000000001</v>
      </c>
      <c r="K22" s="91"/>
      <c r="L22" s="91"/>
      <c r="M22" s="91"/>
      <c r="N22" s="91">
        <f>_xlfn.IFNA(VLOOKUP($D$4,EY!$A:$AR,26,FALSE),0)</f>
        <v>20268.757894736842</v>
      </c>
      <c r="O22" s="91"/>
      <c r="P22" s="91"/>
      <c r="Q22" s="91"/>
      <c r="R22" s="109">
        <f t="shared" si="0"/>
        <v>39031.65789473684</v>
      </c>
      <c r="S22" s="145"/>
      <c r="T22" s="118"/>
      <c r="U22" s="45"/>
      <c r="V22" s="45"/>
      <c r="W22" s="127"/>
    </row>
    <row r="23" spans="2:32" ht="18" customHeight="1">
      <c r="B23" s="14"/>
      <c r="C23" s="18" t="s">
        <v>50</v>
      </c>
      <c r="D23" s="54"/>
      <c r="E23" s="109">
        <f>_xlfn.IFNA(VLOOKUP($D$4,EY!$A:$AF,9,FALSE),0)</f>
        <v>0</v>
      </c>
      <c r="F23" s="70"/>
      <c r="G23" s="109"/>
      <c r="H23" s="109"/>
      <c r="I23" s="91">
        <f>_xlfn.IFNA(VLOOKUP($D$4,EY!$A:$ZY,53,FALSE),0)</f>
        <v>0</v>
      </c>
      <c r="J23" s="91">
        <f>_xlfn.IFNA(VLOOKUP($D$4,EY!$A:$AF,18,FALSE),0)</f>
        <v>1950</v>
      </c>
      <c r="K23" s="91"/>
      <c r="L23" s="91"/>
      <c r="M23" s="91"/>
      <c r="N23" s="91">
        <f>_xlfn.IFNA(VLOOKUP($D$4,EY!$A:$AR,27,FALSE),0)</f>
        <v>966.31578947368416</v>
      </c>
      <c r="O23" s="91"/>
      <c r="P23" s="91"/>
      <c r="Q23" s="91"/>
      <c r="R23" s="109">
        <f t="shared" si="0"/>
        <v>2916.3157894736842</v>
      </c>
      <c r="S23" s="145"/>
      <c r="T23" s="118"/>
      <c r="U23" s="45"/>
      <c r="V23" s="45"/>
      <c r="W23" s="127"/>
    </row>
    <row r="24" spans="2:32" ht="18" customHeight="1">
      <c r="B24" s="14"/>
      <c r="C24" s="18" t="s">
        <v>51</v>
      </c>
      <c r="D24" s="54"/>
      <c r="E24" s="109">
        <f>_xlfn.IFNA(VLOOKUP($D$4,EY!$A:$AF,10,FALSE),0)</f>
        <v>0</v>
      </c>
      <c r="F24" s="109"/>
      <c r="G24" s="109"/>
      <c r="H24" s="109"/>
      <c r="I24" s="91">
        <f>_xlfn.IFNA(VLOOKUP($D$4,EY!$A:$ZY,54,FALSE),0)</f>
        <v>0</v>
      </c>
      <c r="J24" s="91">
        <f>_xlfn.IFNA(VLOOKUP($D$4,EY!$A:$AF,19,FALSE),0)</f>
        <v>596.63157894736844</v>
      </c>
      <c r="K24" s="91"/>
      <c r="L24" s="91"/>
      <c r="M24" s="91"/>
      <c r="N24" s="91">
        <f>_xlfn.IFNA(VLOOKUP($D$4,EY!$A:$AR,28,FALSE),0)</f>
        <v>369.573407202216</v>
      </c>
      <c r="O24" s="91"/>
      <c r="P24" s="91"/>
      <c r="Q24" s="91"/>
      <c r="R24" s="109">
        <f t="shared" si="0"/>
        <v>966.20498614958444</v>
      </c>
      <c r="S24" s="145"/>
      <c r="T24" s="118"/>
      <c r="U24" s="45"/>
      <c r="V24" s="45"/>
      <c r="W24" s="127"/>
    </row>
    <row r="25" spans="2:32" ht="18" customHeight="1">
      <c r="B25" s="14"/>
      <c r="C25" s="18" t="s">
        <v>52</v>
      </c>
      <c r="D25" s="54"/>
      <c r="E25" s="109">
        <f>_xlfn.IFNA(VLOOKUP($D$4,EY!$A:$BQ,33,FALSE),0)</f>
        <v>0</v>
      </c>
      <c r="F25" s="109"/>
      <c r="G25" s="109"/>
      <c r="H25" s="109"/>
      <c r="I25" s="91">
        <f>_xlfn.IFNA(VLOOKUP($D$4,EY!$A:$ZY,56,FALSE),0)</f>
        <v>0</v>
      </c>
      <c r="J25" s="91">
        <f>_xlfn.IFNA(VLOOKUP($D$4,EY!$A:$AR,34,FALSE),0)</f>
        <v>1515.1499999999999</v>
      </c>
      <c r="K25" s="91"/>
      <c r="L25" s="91"/>
      <c r="M25" s="91"/>
      <c r="N25" s="91">
        <f>_xlfn.IFNA(VLOOKUP($D$4,EY!$A:$AR,35,FALSE),0)</f>
        <v>1504.6105263157895</v>
      </c>
      <c r="O25" s="91"/>
      <c r="P25" s="91"/>
      <c r="Q25" s="91"/>
      <c r="R25" s="109">
        <f t="shared" si="0"/>
        <v>3019.7605263157893</v>
      </c>
      <c r="S25" s="145"/>
      <c r="T25" s="118"/>
      <c r="U25" s="45"/>
      <c r="V25" s="45"/>
      <c r="W25" s="127"/>
    </row>
    <row r="26" spans="2:32" ht="18" customHeight="1">
      <c r="B26" s="14"/>
      <c r="C26" s="18" t="s">
        <v>53</v>
      </c>
      <c r="D26" s="54"/>
      <c r="E26" s="109">
        <f>_xlfn.IFNA(VLOOKUP($D$4,EY!$A:$BQ,11,FALSE),0)</f>
        <v>0</v>
      </c>
      <c r="F26" s="109"/>
      <c r="G26" s="109"/>
      <c r="H26" s="109"/>
      <c r="I26" s="91">
        <f>_xlfn.IFNA(VLOOKUP($D$4,EY!$A:$ZY,55,FALSE),0)</f>
        <v>0</v>
      </c>
      <c r="J26" s="91">
        <f>_xlfn.IFNA(VLOOKUP($D$4,EY!$A:$AF,20,FALSE),0)</f>
        <v>0</v>
      </c>
      <c r="K26" s="91"/>
      <c r="L26" s="91"/>
      <c r="M26" s="91"/>
      <c r="N26" s="91">
        <f>_xlfn.IFNA(VLOOKUP($D$4,EY!$A:$AR,29,FALSE),0)</f>
        <v>0</v>
      </c>
      <c r="O26" s="91"/>
      <c r="P26" s="91"/>
      <c r="Q26" s="91"/>
      <c r="R26" s="109">
        <f t="shared" si="0"/>
        <v>0</v>
      </c>
      <c r="S26" s="145"/>
      <c r="T26" s="118"/>
      <c r="U26" s="45"/>
      <c r="V26" s="45"/>
      <c r="W26" s="127"/>
    </row>
    <row r="27" spans="2:32" ht="18" customHeight="1">
      <c r="B27" s="14"/>
      <c r="C27" s="48" t="s">
        <v>54</v>
      </c>
      <c r="D27" s="57">
        <f t="shared" ref="D27:P27" si="1">ROUND(SUM(D14:D26),2)</f>
        <v>0</v>
      </c>
      <c r="E27" s="57">
        <f t="shared" si="1"/>
        <v>0</v>
      </c>
      <c r="F27" s="57">
        <f t="shared" si="1"/>
        <v>0</v>
      </c>
      <c r="G27" s="57">
        <f t="shared" si="1"/>
        <v>0</v>
      </c>
      <c r="H27" s="57">
        <f t="shared" si="1"/>
        <v>0</v>
      </c>
      <c r="I27" s="57">
        <f t="shared" si="1"/>
        <v>0</v>
      </c>
      <c r="J27" s="57">
        <f t="shared" si="1"/>
        <v>22824.68</v>
      </c>
      <c r="K27" s="57">
        <f t="shared" si="1"/>
        <v>0</v>
      </c>
      <c r="L27" s="57">
        <f t="shared" si="1"/>
        <v>0</v>
      </c>
      <c r="M27" s="57">
        <f t="shared" si="1"/>
        <v>0</v>
      </c>
      <c r="N27" s="57">
        <f t="shared" si="1"/>
        <v>23109.26</v>
      </c>
      <c r="O27" s="57">
        <f t="shared" si="1"/>
        <v>0</v>
      </c>
      <c r="P27" s="57">
        <f t="shared" si="1"/>
        <v>0</v>
      </c>
      <c r="Q27" s="57"/>
      <c r="R27" s="111">
        <f>SUM(D27:P27)</f>
        <v>45933.94</v>
      </c>
      <c r="S27" s="145"/>
      <c r="T27" s="118"/>
      <c r="U27" s="45"/>
      <c r="V27" s="45"/>
      <c r="Y27" s="128"/>
    </row>
    <row r="28" spans="2:32" ht="18" customHeight="1">
      <c r="B28" s="14"/>
      <c r="C28" s="193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5"/>
      <c r="R28" s="117"/>
      <c r="S28" s="142"/>
      <c r="T28" s="118"/>
      <c r="U28" s="45"/>
      <c r="V28" s="45"/>
      <c r="Y28" s="128"/>
    </row>
    <row r="29" spans="2:32" ht="17.149999999999999" customHeight="1" thickBot="1">
      <c r="B29" s="22"/>
      <c r="C29" s="205"/>
      <c r="D29" s="5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46"/>
      <c r="S29" s="143"/>
      <c r="T29" s="141"/>
      <c r="U29" s="51"/>
      <c r="V29" s="51"/>
      <c r="W29" s="19"/>
      <c r="X29" s="19"/>
      <c r="Z29" s="128"/>
      <c r="AB29" s="19"/>
      <c r="AC29" s="19"/>
      <c r="AD29" s="19"/>
      <c r="AE29" s="19"/>
      <c r="AF29" s="19"/>
    </row>
    <row r="30" spans="2:32" ht="17.149999999999999" customHeight="1">
      <c r="C30" s="20"/>
      <c r="D30" s="59"/>
      <c r="E30" s="113"/>
      <c r="F30" s="113"/>
      <c r="G30" s="113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56"/>
      <c r="T30" s="45"/>
      <c r="U30" s="45"/>
      <c r="V30" s="45"/>
      <c r="Y30" s="127"/>
    </row>
    <row r="31" spans="2:32" ht="18.75" customHeight="1" thickBot="1">
      <c r="C31" s="8"/>
      <c r="D31" s="60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53"/>
      <c r="T31" s="45"/>
      <c r="U31" s="45"/>
      <c r="V31" s="45"/>
      <c r="Y31" s="127"/>
    </row>
    <row r="32" spans="2:32" ht="30" customHeight="1">
      <c r="B32" s="9"/>
      <c r="C32" s="25"/>
      <c r="D32" s="61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62"/>
      <c r="T32" s="63"/>
      <c r="U32" s="45"/>
      <c r="V32" s="45"/>
      <c r="W32" s="129"/>
      <c r="X32" s="129"/>
      <c r="Y32" s="127"/>
      <c r="Z32" s="129"/>
    </row>
    <row r="33" spans="2:26" ht="18.5">
      <c r="B33" s="14"/>
      <c r="C33" s="8" t="s">
        <v>210</v>
      </c>
      <c r="D33" s="116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64"/>
      <c r="T33" s="65"/>
      <c r="U33" s="45"/>
      <c r="V33" s="45"/>
      <c r="W33" s="129"/>
      <c r="X33" s="129"/>
      <c r="Y33" s="127"/>
      <c r="Z33" s="129"/>
    </row>
    <row r="34" spans="2:26" s="5" customFormat="1" ht="32.25" customHeight="1">
      <c r="B34" s="26"/>
      <c r="C34" s="21"/>
      <c r="D34" s="293" t="s">
        <v>55</v>
      </c>
      <c r="E34" s="148">
        <v>45748</v>
      </c>
      <c r="F34" s="148">
        <v>45778</v>
      </c>
      <c r="G34" s="148">
        <v>45809</v>
      </c>
      <c r="H34" s="148">
        <v>45839</v>
      </c>
      <c r="I34" s="148">
        <v>45870</v>
      </c>
      <c r="J34" s="148">
        <v>45901</v>
      </c>
      <c r="K34" s="148">
        <v>45931</v>
      </c>
      <c r="L34" s="148">
        <v>45962</v>
      </c>
      <c r="M34" s="148">
        <v>45992</v>
      </c>
      <c r="N34" s="148">
        <v>46023</v>
      </c>
      <c r="O34" s="148">
        <v>46054</v>
      </c>
      <c r="P34" s="148">
        <v>46082</v>
      </c>
      <c r="Q34" s="208" t="s">
        <v>56</v>
      </c>
      <c r="R34" s="66" t="s">
        <v>57</v>
      </c>
      <c r="S34" s="177" t="s">
        <v>58</v>
      </c>
      <c r="T34" s="67"/>
      <c r="U34" s="68"/>
      <c r="V34" s="68"/>
      <c r="W34" s="130"/>
      <c r="X34" s="130"/>
      <c r="Y34" s="130"/>
      <c r="Z34" s="130"/>
    </row>
    <row r="35" spans="2:26" s="5" customFormat="1" ht="18" customHeight="1">
      <c r="B35" s="26"/>
      <c r="C35" s="21"/>
      <c r="D35" s="294"/>
      <c r="E35" s="149" t="s">
        <v>59</v>
      </c>
      <c r="F35" s="150" t="s">
        <v>59</v>
      </c>
      <c r="G35" s="150" t="s">
        <v>59</v>
      </c>
      <c r="H35" s="150" t="s">
        <v>59</v>
      </c>
      <c r="I35" s="150" t="s">
        <v>59</v>
      </c>
      <c r="J35" s="150" t="s">
        <v>59</v>
      </c>
      <c r="K35" s="150" t="s">
        <v>59</v>
      </c>
      <c r="L35" s="150" t="s">
        <v>59</v>
      </c>
      <c r="M35" s="150" t="s">
        <v>59</v>
      </c>
      <c r="N35" s="150" t="s">
        <v>60</v>
      </c>
      <c r="O35" s="150" t="s">
        <v>60</v>
      </c>
      <c r="P35" s="150" t="s">
        <v>60</v>
      </c>
      <c r="Q35" s="209" t="s">
        <v>59</v>
      </c>
      <c r="R35" s="66" t="s">
        <v>61</v>
      </c>
      <c r="S35" s="177"/>
      <c r="T35" s="67"/>
      <c r="U35" s="68"/>
      <c r="V35" s="68"/>
      <c r="W35" s="130"/>
      <c r="X35" s="130"/>
      <c r="Y35" s="130"/>
      <c r="Z35" s="130"/>
    </row>
    <row r="36" spans="2:26" s="5" customFormat="1" ht="18" customHeight="1">
      <c r="B36" s="26"/>
      <c r="C36" s="18" t="s">
        <v>42</v>
      </c>
      <c r="D36" s="69" t="s">
        <v>4</v>
      </c>
      <c r="E36" s="70">
        <f>$D$14/12</f>
        <v>0</v>
      </c>
      <c r="F36" s="70">
        <f t="shared" ref="F36:J36" si="2">$D$14/12</f>
        <v>0</v>
      </c>
      <c r="G36" s="70">
        <f t="shared" si="2"/>
        <v>0</v>
      </c>
      <c r="H36" s="70">
        <f t="shared" si="2"/>
        <v>0</v>
      </c>
      <c r="I36" s="70">
        <f t="shared" si="2"/>
        <v>0</v>
      </c>
      <c r="J36" s="70">
        <f t="shared" si="2"/>
        <v>0</v>
      </c>
      <c r="K36" s="70">
        <f>($D$14/12)+($J$14*7/12)+($K$14/6)</f>
        <v>0</v>
      </c>
      <c r="L36" s="70">
        <f>($D$14/12)+($J$14/12)+($K$14/6)+($L$14*8/12)</f>
        <v>0</v>
      </c>
      <c r="M36" s="70">
        <f>($D$14/12)+($J$14/12)+($K$14/6)+($L$14/12)</f>
        <v>0</v>
      </c>
      <c r="N36" s="70">
        <f t="shared" ref="N36:P36" si="3">($D$14/12)+($J$14/12)+($K$14/6)+($L$14/12)</f>
        <v>0</v>
      </c>
      <c r="O36" s="70">
        <f t="shared" si="3"/>
        <v>0</v>
      </c>
      <c r="P36" s="70">
        <f t="shared" si="3"/>
        <v>0</v>
      </c>
      <c r="Q36" s="207">
        <f>SUMIF($E$35:$P$35,$Q$35,E36:P36)</f>
        <v>0</v>
      </c>
      <c r="R36" s="72"/>
      <c r="S36" s="178">
        <f>SUM(E36:P36)+R36</f>
        <v>0</v>
      </c>
      <c r="T36" s="73"/>
      <c r="U36" s="68"/>
      <c r="V36" s="68"/>
      <c r="W36" s="131"/>
      <c r="X36" s="132"/>
      <c r="Y36" s="130"/>
      <c r="Z36" s="130"/>
    </row>
    <row r="37" spans="2:26" s="5" customFormat="1" ht="18" customHeight="1">
      <c r="B37" s="26"/>
      <c r="C37" s="18" t="s">
        <v>62</v>
      </c>
      <c r="D37" s="69" t="s">
        <v>7</v>
      </c>
      <c r="E37" s="70">
        <f>($D$15/12)+E15</f>
        <v>0</v>
      </c>
      <c r="F37" s="70">
        <f t="shared" ref="F37:J37" si="4">$D$15/12</f>
        <v>0</v>
      </c>
      <c r="G37" s="70">
        <f>$D$15/12+G15</f>
        <v>0</v>
      </c>
      <c r="H37" s="70">
        <f t="shared" si="4"/>
        <v>0</v>
      </c>
      <c r="I37" s="70">
        <f t="shared" si="4"/>
        <v>0</v>
      </c>
      <c r="J37" s="70">
        <f t="shared" si="4"/>
        <v>0</v>
      </c>
      <c r="K37" s="70">
        <f>($D$15/12)+($K$15/6)</f>
        <v>0</v>
      </c>
      <c r="L37" s="70">
        <f>($D$15/12)+($K$15/6)+($L$15*8/12)</f>
        <v>0</v>
      </c>
      <c r="M37" s="70">
        <f>($D$15/12)+($K$15/6)+($L$15/12)</f>
        <v>0</v>
      </c>
      <c r="N37" s="70">
        <f t="shared" ref="N37:P37" si="5">($D$15/12)+($K$15/6)+($L$15/12)</f>
        <v>0</v>
      </c>
      <c r="O37" s="70">
        <f t="shared" si="5"/>
        <v>0</v>
      </c>
      <c r="P37" s="70">
        <f t="shared" si="5"/>
        <v>0</v>
      </c>
      <c r="Q37" s="207">
        <f>SUMIF($E$35:$P$35,$Q$35,E37:P37)</f>
        <v>0</v>
      </c>
      <c r="R37" s="72"/>
      <c r="S37" s="178">
        <f>SUM(E37:P37)+R37</f>
        <v>0</v>
      </c>
      <c r="T37" s="73"/>
      <c r="U37" s="68"/>
      <c r="V37" s="68"/>
      <c r="W37" s="131"/>
      <c r="X37" s="132"/>
      <c r="Y37" s="130"/>
      <c r="Z37" s="130"/>
    </row>
    <row r="38" spans="2:26" s="5" customFormat="1" ht="18" customHeight="1">
      <c r="B38" s="26"/>
      <c r="C38" s="18" t="s">
        <v>44</v>
      </c>
      <c r="D38" s="69" t="s">
        <v>7</v>
      </c>
      <c r="E38" s="70">
        <f>$D$16/12</f>
        <v>0</v>
      </c>
      <c r="F38" s="70">
        <f t="shared" ref="F38:J38" si="6">$D$16/12</f>
        <v>0</v>
      </c>
      <c r="G38" s="70">
        <f t="shared" si="6"/>
        <v>0</v>
      </c>
      <c r="H38" s="70">
        <f t="shared" si="6"/>
        <v>0</v>
      </c>
      <c r="I38" s="70">
        <f t="shared" si="6"/>
        <v>0</v>
      </c>
      <c r="J38" s="70">
        <f t="shared" si="6"/>
        <v>0</v>
      </c>
      <c r="K38" s="70">
        <f>($D$16/12)+($K$16/6)</f>
        <v>0</v>
      </c>
      <c r="L38" s="70">
        <f t="shared" ref="L38:P38" si="7">($D$16/12)+($K$16/6)</f>
        <v>0</v>
      </c>
      <c r="M38" s="70">
        <f t="shared" si="7"/>
        <v>0</v>
      </c>
      <c r="N38" s="70">
        <f t="shared" si="7"/>
        <v>0</v>
      </c>
      <c r="O38" s="70">
        <f t="shared" si="7"/>
        <v>0</v>
      </c>
      <c r="P38" s="70">
        <f t="shared" si="7"/>
        <v>0</v>
      </c>
      <c r="Q38" s="207">
        <f t="shared" ref="Q38:Q42" si="8">SUMIF($E$35:$P$35,$Q$35,E38:P38)</f>
        <v>0</v>
      </c>
      <c r="R38" s="72"/>
      <c r="S38" s="178">
        <f t="shared" ref="S38:S48" si="9">SUM(E38:P38)+R38</f>
        <v>0</v>
      </c>
      <c r="T38" s="73"/>
      <c r="U38" s="68"/>
      <c r="V38" s="68"/>
      <c r="W38" s="131"/>
      <c r="X38" s="132"/>
      <c r="Y38" s="130"/>
      <c r="Z38" s="130"/>
    </row>
    <row r="39" spans="2:26" s="5" customFormat="1" ht="18" customHeight="1">
      <c r="B39" s="26"/>
      <c r="C39" s="18" t="s">
        <v>45</v>
      </c>
      <c r="D39" s="69" t="s">
        <v>4</v>
      </c>
      <c r="E39" s="70">
        <f>$D$17/12</f>
        <v>0</v>
      </c>
      <c r="F39" s="70">
        <f t="shared" ref="F39:P39" si="10">$D$17/12</f>
        <v>0</v>
      </c>
      <c r="G39" s="70">
        <f t="shared" si="10"/>
        <v>0</v>
      </c>
      <c r="H39" s="70">
        <f t="shared" si="10"/>
        <v>0</v>
      </c>
      <c r="I39" s="70">
        <f t="shared" si="10"/>
        <v>0</v>
      </c>
      <c r="J39" s="70">
        <f t="shared" si="10"/>
        <v>0</v>
      </c>
      <c r="K39" s="70">
        <f t="shared" si="10"/>
        <v>0</v>
      </c>
      <c r="L39" s="70">
        <f t="shared" si="10"/>
        <v>0</v>
      </c>
      <c r="M39" s="70">
        <f t="shared" si="10"/>
        <v>0</v>
      </c>
      <c r="N39" s="70">
        <f t="shared" si="10"/>
        <v>0</v>
      </c>
      <c r="O39" s="70">
        <f t="shared" si="10"/>
        <v>0</v>
      </c>
      <c r="P39" s="70">
        <f t="shared" si="10"/>
        <v>0</v>
      </c>
      <c r="Q39" s="207">
        <f t="shared" si="8"/>
        <v>0</v>
      </c>
      <c r="R39" s="72"/>
      <c r="S39" s="178">
        <f>SUM(E39:P39)+R39</f>
        <v>0</v>
      </c>
      <c r="T39" s="73"/>
      <c r="U39" s="68"/>
      <c r="V39" s="68"/>
      <c r="W39" s="131"/>
      <c r="X39" s="132"/>
      <c r="Y39" s="130"/>
      <c r="Z39" s="130"/>
    </row>
    <row r="40" spans="2:26" s="5" customFormat="1" ht="18" customHeight="1">
      <c r="B40" s="26"/>
      <c r="C40" s="18" t="s">
        <v>63</v>
      </c>
      <c r="D40" s="196" t="s">
        <v>7</v>
      </c>
      <c r="E40" s="70">
        <f>$D$18/12</f>
        <v>0</v>
      </c>
      <c r="F40" s="70">
        <f t="shared" ref="F40:G40" si="11">$D$18/12</f>
        <v>0</v>
      </c>
      <c r="G40" s="70">
        <f t="shared" si="11"/>
        <v>0</v>
      </c>
      <c r="H40" s="70">
        <f>$D$18/12+($H$18*4/12)</f>
        <v>0</v>
      </c>
      <c r="I40" s="70">
        <f>$D$18/12+($H$18*1/12)</f>
        <v>0</v>
      </c>
      <c r="J40" s="70">
        <f t="shared" ref="J40" si="12">$D$18/12+($H$18*1/12)</f>
        <v>0</v>
      </c>
      <c r="K40" s="70">
        <f>(($D$18/12+($H$18*1/12))+($K$18*2/7))</f>
        <v>0</v>
      </c>
      <c r="L40" s="70">
        <f>(($D$18/12+($H$18*1/12))+($K$18*1/7))+($L$18*8/12)</f>
        <v>0</v>
      </c>
      <c r="M40" s="70">
        <f>(($D$18/12+($H$18*1/12))+($K$18*1/7))+($L$18/12)</f>
        <v>0</v>
      </c>
      <c r="N40" s="70">
        <f t="shared" ref="N40:P40" si="13">(($D$18/12+($H$18*1/12))+($K$18*1/7))+($L$18/12)</f>
        <v>0</v>
      </c>
      <c r="O40" s="70">
        <f t="shared" si="13"/>
        <v>0</v>
      </c>
      <c r="P40" s="70">
        <f t="shared" si="13"/>
        <v>0</v>
      </c>
      <c r="Q40" s="207">
        <f t="shared" si="8"/>
        <v>0</v>
      </c>
      <c r="R40" s="72"/>
      <c r="S40" s="178">
        <f>SUM(E40:P40)+R40</f>
        <v>0</v>
      </c>
      <c r="T40" s="73"/>
      <c r="U40" s="68"/>
      <c r="V40" s="68"/>
      <c r="W40" s="131"/>
      <c r="X40" s="132"/>
      <c r="Y40" s="130"/>
      <c r="Z40" s="130"/>
    </row>
    <row r="41" spans="2:26" s="5" customFormat="1" ht="18" customHeight="1">
      <c r="B41" s="26"/>
      <c r="C41" s="18" t="s">
        <v>455</v>
      </c>
      <c r="D41" s="196" t="s">
        <v>7</v>
      </c>
      <c r="E41" s="70">
        <f>$D$19/5</f>
        <v>0</v>
      </c>
      <c r="F41" s="70">
        <f t="shared" ref="F41:I41" si="14">$D$19/5</f>
        <v>0</v>
      </c>
      <c r="G41" s="70">
        <f t="shared" si="14"/>
        <v>0</v>
      </c>
      <c r="H41" s="70">
        <f t="shared" si="14"/>
        <v>0</v>
      </c>
      <c r="I41" s="70">
        <f t="shared" si="14"/>
        <v>0</v>
      </c>
      <c r="J41" s="70"/>
      <c r="K41" s="70"/>
      <c r="L41" s="70"/>
      <c r="M41" s="70"/>
      <c r="N41" s="70"/>
      <c r="O41" s="70"/>
      <c r="P41" s="70"/>
      <c r="Q41" s="207">
        <f t="shared" si="8"/>
        <v>0</v>
      </c>
      <c r="R41" s="72"/>
      <c r="S41" s="178">
        <f>SUM(E41:P41)+R41</f>
        <v>0</v>
      </c>
      <c r="T41" s="73"/>
      <c r="U41" s="68"/>
      <c r="V41" s="68"/>
      <c r="W41" s="131"/>
      <c r="X41" s="132"/>
      <c r="Y41" s="130"/>
      <c r="Z41" s="130"/>
    </row>
    <row r="42" spans="2:26" s="5" customFormat="1" ht="18" customHeight="1">
      <c r="B42" s="26"/>
      <c r="C42" s="18" t="s">
        <v>64</v>
      </c>
      <c r="D42" s="196" t="s">
        <v>4</v>
      </c>
      <c r="E42" s="70">
        <f t="shared" ref="E42:E48" si="15">E20*80%</f>
        <v>0</v>
      </c>
      <c r="F42" s="70"/>
      <c r="G42" s="70"/>
      <c r="H42" s="70"/>
      <c r="I42" s="70">
        <f>(E20+I20)-E42</f>
        <v>0</v>
      </c>
      <c r="J42" s="70">
        <f t="shared" ref="J42:J48" si="16">J20*80%</f>
        <v>0</v>
      </c>
      <c r="K42" s="70"/>
      <c r="L42" s="70"/>
      <c r="M42" s="70"/>
      <c r="N42" s="70">
        <f t="shared" ref="N42:N48" si="17">N20*80%</f>
        <v>0</v>
      </c>
      <c r="O42" s="70"/>
      <c r="P42" s="70"/>
      <c r="Q42" s="207">
        <f t="shared" si="8"/>
        <v>0</v>
      </c>
      <c r="R42" s="72"/>
      <c r="S42" s="178">
        <f>SUM(E42:P42)+R42</f>
        <v>0</v>
      </c>
      <c r="T42" s="73"/>
      <c r="U42" s="68"/>
      <c r="V42" s="68"/>
      <c r="W42" s="131"/>
      <c r="X42" s="132"/>
      <c r="Y42" s="130"/>
      <c r="Z42" s="130"/>
    </row>
    <row r="43" spans="2:26" s="5" customFormat="1" ht="18" customHeight="1">
      <c r="B43" s="26"/>
      <c r="C43" s="37" t="s">
        <v>65</v>
      </c>
      <c r="D43" s="69" t="s">
        <v>4</v>
      </c>
      <c r="E43" s="70">
        <f t="shared" si="15"/>
        <v>0</v>
      </c>
      <c r="F43" s="70"/>
      <c r="G43" s="70"/>
      <c r="H43" s="70"/>
      <c r="I43" s="70">
        <f t="shared" ref="I43:I48" si="18">(E21+I21)-E43</f>
        <v>0</v>
      </c>
      <c r="J43" s="70">
        <f t="shared" si="16"/>
        <v>0</v>
      </c>
      <c r="K43" s="70"/>
      <c r="L43" s="70"/>
      <c r="M43" s="70"/>
      <c r="N43" s="70">
        <f t="shared" si="17"/>
        <v>0</v>
      </c>
      <c r="O43" s="70"/>
      <c r="P43" s="70"/>
      <c r="Q43" s="207">
        <f t="shared" ref="Q43:Q50" si="19">SUMIF($E$35:$P$35,$Q$35,E43:P43)</f>
        <v>0</v>
      </c>
      <c r="R43" s="72"/>
      <c r="S43" s="178">
        <f t="shared" si="9"/>
        <v>0</v>
      </c>
      <c r="T43" s="73"/>
      <c r="U43" s="68"/>
      <c r="V43" s="68"/>
      <c r="W43" s="131"/>
      <c r="X43" s="132"/>
      <c r="Y43" s="130"/>
      <c r="Z43" s="130"/>
    </row>
    <row r="44" spans="2:26" s="5" customFormat="1" ht="18" customHeight="1">
      <c r="B44" s="26"/>
      <c r="C44" s="37" t="s">
        <v>66</v>
      </c>
      <c r="D44" s="69" t="s">
        <v>4</v>
      </c>
      <c r="E44" s="70">
        <f t="shared" si="15"/>
        <v>0</v>
      </c>
      <c r="F44" s="70"/>
      <c r="G44" s="70"/>
      <c r="H44" s="70"/>
      <c r="I44" s="70">
        <f t="shared" si="18"/>
        <v>0</v>
      </c>
      <c r="J44" s="70">
        <f t="shared" si="16"/>
        <v>15010.320000000002</v>
      </c>
      <c r="K44" s="70"/>
      <c r="L44" s="70"/>
      <c r="M44" s="70"/>
      <c r="N44" s="70">
        <f t="shared" si="17"/>
        <v>16215.006315789475</v>
      </c>
      <c r="O44" s="70"/>
      <c r="P44" s="70"/>
      <c r="Q44" s="207">
        <f t="shared" si="19"/>
        <v>15010.320000000002</v>
      </c>
      <c r="R44" s="72"/>
      <c r="S44" s="178">
        <f>SUM(E44:P44)+R44</f>
        <v>31225.326315789476</v>
      </c>
      <c r="T44" s="73"/>
      <c r="U44" s="68"/>
      <c r="V44" s="68"/>
      <c r="W44" s="131"/>
      <c r="X44" s="132"/>
      <c r="Y44" s="130"/>
      <c r="Z44" s="130"/>
    </row>
    <row r="45" spans="2:26" s="5" customFormat="1" ht="18" customHeight="1">
      <c r="B45" s="26"/>
      <c r="C45" s="37" t="s">
        <v>67</v>
      </c>
      <c r="D45" s="69" t="s">
        <v>4</v>
      </c>
      <c r="E45" s="70">
        <f t="shared" si="15"/>
        <v>0</v>
      </c>
      <c r="F45" s="70"/>
      <c r="G45" s="70"/>
      <c r="H45" s="70"/>
      <c r="I45" s="70">
        <f t="shared" si="18"/>
        <v>0</v>
      </c>
      <c r="J45" s="70">
        <f t="shared" si="16"/>
        <v>1560</v>
      </c>
      <c r="K45" s="70"/>
      <c r="L45" s="70"/>
      <c r="M45" s="70"/>
      <c r="N45" s="70">
        <f t="shared" si="17"/>
        <v>773.0526315789474</v>
      </c>
      <c r="O45" s="70"/>
      <c r="P45" s="70"/>
      <c r="Q45" s="207">
        <f t="shared" si="19"/>
        <v>1560</v>
      </c>
      <c r="R45" s="72"/>
      <c r="S45" s="178">
        <f t="shared" si="9"/>
        <v>2333.0526315789475</v>
      </c>
      <c r="T45" s="73"/>
      <c r="U45" s="68"/>
      <c r="V45" s="68"/>
      <c r="W45" s="131"/>
      <c r="X45" s="132"/>
      <c r="Y45" s="130"/>
      <c r="Z45" s="130"/>
    </row>
    <row r="46" spans="2:26" s="5" customFormat="1" ht="18" customHeight="1">
      <c r="B46" s="26"/>
      <c r="C46" s="37" t="s">
        <v>68</v>
      </c>
      <c r="D46" s="69" t="s">
        <v>4</v>
      </c>
      <c r="E46" s="70">
        <f t="shared" si="15"/>
        <v>0</v>
      </c>
      <c r="F46" s="70"/>
      <c r="G46" s="70"/>
      <c r="H46" s="70"/>
      <c r="I46" s="70">
        <f t="shared" si="18"/>
        <v>0</v>
      </c>
      <c r="J46" s="70">
        <f t="shared" si="16"/>
        <v>477.30526315789479</v>
      </c>
      <c r="K46" s="70"/>
      <c r="L46" s="70"/>
      <c r="M46" s="70"/>
      <c r="N46" s="70">
        <f t="shared" si="17"/>
        <v>295.65872576177281</v>
      </c>
      <c r="O46" s="70"/>
      <c r="P46" s="70"/>
      <c r="Q46" s="207">
        <f t="shared" si="19"/>
        <v>477.30526315789479</v>
      </c>
      <c r="R46" s="72"/>
      <c r="S46" s="178">
        <f t="shared" si="9"/>
        <v>772.9639889196676</v>
      </c>
      <c r="T46" s="73"/>
      <c r="U46" s="68"/>
      <c r="V46" s="68"/>
      <c r="W46" s="131"/>
      <c r="X46" s="132"/>
      <c r="Y46" s="130"/>
      <c r="Z46" s="130"/>
    </row>
    <row r="47" spans="2:26" s="5" customFormat="1" ht="18" customHeight="1">
      <c r="B47" s="26"/>
      <c r="C47" s="37" t="s">
        <v>69</v>
      </c>
      <c r="D47" s="69" t="s">
        <v>4</v>
      </c>
      <c r="E47" s="70">
        <f t="shared" si="15"/>
        <v>0</v>
      </c>
      <c r="F47" s="70"/>
      <c r="G47" s="70"/>
      <c r="H47" s="70"/>
      <c r="I47" s="70">
        <f t="shared" si="18"/>
        <v>0</v>
      </c>
      <c r="J47" s="70">
        <f t="shared" si="16"/>
        <v>1212.1199999999999</v>
      </c>
      <c r="K47" s="70"/>
      <c r="L47" s="70"/>
      <c r="M47" s="70"/>
      <c r="N47" s="70">
        <f t="shared" si="17"/>
        <v>1203.6884210526316</v>
      </c>
      <c r="O47" s="70"/>
      <c r="P47" s="70"/>
      <c r="Q47" s="207">
        <f t="shared" si="19"/>
        <v>1212.1199999999999</v>
      </c>
      <c r="R47" s="72"/>
      <c r="S47" s="178">
        <f>SUM(E47:P47)+R47</f>
        <v>2415.8084210526313</v>
      </c>
      <c r="T47" s="73"/>
      <c r="U47" s="68"/>
      <c r="V47" s="75"/>
      <c r="W47" s="131"/>
      <c r="X47" s="132"/>
      <c r="Y47" s="130"/>
      <c r="Z47" s="130"/>
    </row>
    <row r="48" spans="2:26" s="5" customFormat="1" ht="18" customHeight="1">
      <c r="B48" s="26"/>
      <c r="C48" s="37" t="s">
        <v>70</v>
      </c>
      <c r="D48" s="69" t="s">
        <v>7</v>
      </c>
      <c r="E48" s="70">
        <f t="shared" si="15"/>
        <v>0</v>
      </c>
      <c r="F48" s="70"/>
      <c r="G48" s="70"/>
      <c r="H48" s="70"/>
      <c r="I48" s="70">
        <f t="shared" si="18"/>
        <v>0</v>
      </c>
      <c r="J48" s="70">
        <f t="shared" si="16"/>
        <v>0</v>
      </c>
      <c r="K48" s="70"/>
      <c r="L48" s="70"/>
      <c r="M48" s="70"/>
      <c r="N48" s="70">
        <f t="shared" si="17"/>
        <v>0</v>
      </c>
      <c r="O48" s="70"/>
      <c r="P48" s="70"/>
      <c r="Q48" s="207">
        <f t="shared" si="19"/>
        <v>0</v>
      </c>
      <c r="R48" s="72"/>
      <c r="S48" s="178">
        <f t="shared" si="9"/>
        <v>0</v>
      </c>
      <c r="T48" s="73"/>
      <c r="U48" s="68"/>
      <c r="V48" s="75"/>
      <c r="W48" s="131"/>
      <c r="X48" s="132"/>
      <c r="Y48" s="130"/>
      <c r="Z48" s="130"/>
    </row>
    <row r="49" spans="2:27" ht="18" customHeight="1">
      <c r="B49" s="14"/>
      <c r="C49" s="49" t="s">
        <v>211</v>
      </c>
      <c r="D49" s="55">
        <f t="shared" ref="D49:P49" si="20">SUM(D36:D48)</f>
        <v>0</v>
      </c>
      <c r="E49" s="92">
        <f t="shared" si="20"/>
        <v>0</v>
      </c>
      <c r="F49" s="92">
        <f t="shared" si="20"/>
        <v>0</v>
      </c>
      <c r="G49" s="92">
        <f t="shared" si="20"/>
        <v>0</v>
      </c>
      <c r="H49" s="92">
        <f t="shared" si="20"/>
        <v>0</v>
      </c>
      <c r="I49" s="92">
        <f t="shared" si="20"/>
        <v>0</v>
      </c>
      <c r="J49" s="92">
        <f t="shared" si="20"/>
        <v>18259.745263157893</v>
      </c>
      <c r="K49" s="92">
        <f t="shared" si="20"/>
        <v>0</v>
      </c>
      <c r="L49" s="92">
        <f t="shared" si="20"/>
        <v>0</v>
      </c>
      <c r="M49" s="92">
        <f t="shared" si="20"/>
        <v>0</v>
      </c>
      <c r="N49" s="92">
        <f t="shared" si="20"/>
        <v>18487.406094182828</v>
      </c>
      <c r="O49" s="92">
        <f t="shared" si="20"/>
        <v>0</v>
      </c>
      <c r="P49" s="92">
        <f t="shared" si="20"/>
        <v>0</v>
      </c>
      <c r="Q49" s="210">
        <f t="shared" si="19"/>
        <v>18259.745263157893</v>
      </c>
      <c r="R49" s="110">
        <f>SUM(R36:R48)</f>
        <v>0</v>
      </c>
      <c r="S49" s="111">
        <f>SUM(E49:P49)+R49</f>
        <v>36747.151357340721</v>
      </c>
      <c r="T49" s="118"/>
      <c r="U49" s="45"/>
      <c r="V49" s="45"/>
    </row>
    <row r="50" spans="2:27" ht="18" customHeight="1">
      <c r="B50" s="14"/>
      <c r="C50" s="288" t="s">
        <v>476</v>
      </c>
      <c r="D50" s="55"/>
      <c r="E50" s="92"/>
      <c r="F50" s="92"/>
      <c r="G50" s="92"/>
      <c r="H50" s="92"/>
      <c r="I50" s="92"/>
      <c r="J50" s="96">
        <f>-_xlfn.IFNA((VLOOKUP($D$4,'Other Adjustments'!$A:$E,5,FALSE)*3/9),0)</f>
        <v>0</v>
      </c>
      <c r="K50" s="96">
        <f>-_xlfn.IFNA((VLOOKUP($D$4,'Other Adjustments'!$A:$E,5,FALSE)/9),0)</f>
        <v>0</v>
      </c>
      <c r="L50" s="96">
        <f>-_xlfn.IFNA((VLOOKUP($D$4,'Other Adjustments'!$A:$E,5,FALSE)/9),0)</f>
        <v>0</v>
      </c>
      <c r="M50" s="96">
        <f>-_xlfn.IFNA((VLOOKUP($D$4,'Other Adjustments'!$A:$E,5,FALSE)/9),0)</f>
        <v>0</v>
      </c>
      <c r="N50" s="96">
        <f>-_xlfn.IFNA((VLOOKUP($D$4,'Other Adjustments'!$A:$E,5,FALSE)/9),0)</f>
        <v>0</v>
      </c>
      <c r="O50" s="96">
        <f>-_xlfn.IFNA((VLOOKUP($D$4,'Other Adjustments'!$A:$E,5,FALSE)/9),0)</f>
        <v>0</v>
      </c>
      <c r="P50" s="96">
        <f>-_xlfn.IFNA((VLOOKUP($D$4,'Other Adjustments'!$A:$E,5,FALSE)/9),0)</f>
        <v>0</v>
      </c>
      <c r="Q50" s="210">
        <f t="shared" si="19"/>
        <v>0</v>
      </c>
      <c r="R50" s="287"/>
      <c r="S50" s="111">
        <f>SUM(E50:P50)+R50</f>
        <v>0</v>
      </c>
      <c r="T50" s="118"/>
      <c r="U50" s="45"/>
      <c r="V50" s="45"/>
    </row>
    <row r="51" spans="2:27" s="5" customFormat="1" ht="18" customHeight="1" thickBot="1">
      <c r="B51" s="26"/>
      <c r="C51" s="18"/>
      <c r="D51" s="69"/>
      <c r="E51" s="70"/>
      <c r="F51" s="70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211"/>
      <c r="R51" s="72"/>
      <c r="S51" s="94"/>
      <c r="T51" s="81"/>
      <c r="U51" s="68"/>
      <c r="V51" s="75"/>
      <c r="W51" s="134"/>
      <c r="X51" s="135"/>
      <c r="Y51" s="130"/>
    </row>
    <row r="52" spans="2:27" s="5" customFormat="1" ht="18" customHeight="1" thickBot="1">
      <c r="B52" s="26"/>
      <c r="C52" s="50" t="s">
        <v>453</v>
      </c>
      <c r="D52" s="83"/>
      <c r="E52" s="84">
        <f>E49</f>
        <v>0</v>
      </c>
      <c r="F52" s="84">
        <f>F49</f>
        <v>0</v>
      </c>
      <c r="G52" s="84">
        <f>G49</f>
        <v>0</v>
      </c>
      <c r="H52" s="84">
        <f>H49</f>
        <v>0</v>
      </c>
      <c r="I52" s="84">
        <f>I49</f>
        <v>0</v>
      </c>
      <c r="J52" s="84">
        <f>J49+J50</f>
        <v>18259.745263157893</v>
      </c>
      <c r="K52" s="84">
        <f t="shared" ref="K52:P52" si="21">K49+K50</f>
        <v>0</v>
      </c>
      <c r="L52" s="84">
        <f t="shared" si="21"/>
        <v>0</v>
      </c>
      <c r="M52" s="84">
        <f t="shared" si="21"/>
        <v>0</v>
      </c>
      <c r="N52" s="84">
        <f t="shared" si="21"/>
        <v>18487.406094182828</v>
      </c>
      <c r="O52" s="84">
        <f t="shared" si="21"/>
        <v>0</v>
      </c>
      <c r="P52" s="84">
        <f t="shared" si="21"/>
        <v>0</v>
      </c>
      <c r="Q52" s="84">
        <f>SUM(Q49:Q51)</f>
        <v>18259.745263157893</v>
      </c>
      <c r="R52" s="84">
        <f>SUM(R51:R51)</f>
        <v>0</v>
      </c>
      <c r="S52" s="85">
        <f>SUM(E52:P52)+R52</f>
        <v>36747.151357340721</v>
      </c>
      <c r="T52" s="81"/>
      <c r="U52" s="68"/>
      <c r="V52" s="75"/>
      <c r="W52" s="135"/>
      <c r="X52" s="136"/>
      <c r="Y52" s="136"/>
      <c r="AA52" s="137"/>
    </row>
    <row r="53" spans="2:27" s="5" customFormat="1" ht="18" customHeight="1">
      <c r="B53" s="26"/>
      <c r="C53" s="44"/>
      <c r="D53" s="8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  <c r="R53" s="88"/>
      <c r="S53" s="217"/>
      <c r="T53" s="81"/>
      <c r="U53" s="68"/>
      <c r="V53" s="75"/>
      <c r="X53" s="136"/>
    </row>
    <row r="54" spans="2:27" s="5" customFormat="1" ht="18" customHeight="1">
      <c r="B54" s="26"/>
      <c r="C54" s="216" t="s">
        <v>71</v>
      </c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8"/>
      <c r="R54" s="78"/>
      <c r="S54" s="77"/>
      <c r="T54" s="81"/>
      <c r="U54" s="68"/>
      <c r="V54" s="75"/>
      <c r="X54" s="136"/>
    </row>
    <row r="55" spans="2:27" s="5" customFormat="1" ht="18" customHeight="1">
      <c r="B55" s="26"/>
      <c r="C55" s="175" t="s">
        <v>72</v>
      </c>
      <c r="D55" s="79" t="s">
        <v>7</v>
      </c>
      <c r="E55" s="80"/>
      <c r="F55" s="80"/>
      <c r="G55" s="80"/>
      <c r="H55" s="74">
        <f>_xlfn.IFNA(VLOOKUP($D$4,OtherDSG!$A:$Q,8,FALSE),0)</f>
        <v>0</v>
      </c>
      <c r="I55" s="74"/>
      <c r="J55" s="74">
        <f>_xlfn.IFNA(VLOOKUP($D$4,OtherDSG!$A:$Q,9,FALSE),0)</f>
        <v>0</v>
      </c>
      <c r="K55" s="80"/>
      <c r="L55" s="74"/>
      <c r="M55" s="74">
        <f>_xlfn.IFNA(VLOOKUP($D$4,OtherDSG!$A:$Q,10,FALSE),0)</f>
        <v>31825.003333333334</v>
      </c>
      <c r="N55" s="80"/>
      <c r="O55" s="74"/>
      <c r="P55" s="80"/>
      <c r="Q55" s="207">
        <f>SUMIF($E$35:$P$35,$Q$35,E55:P55)</f>
        <v>31825.003333333334</v>
      </c>
      <c r="R55" s="89"/>
      <c r="S55" s="94">
        <f>SUM(E55:P55)+R55</f>
        <v>31825.003333333334</v>
      </c>
      <c r="T55" s="81"/>
      <c r="U55" s="68"/>
      <c r="V55" s="75"/>
      <c r="X55" s="136"/>
    </row>
    <row r="56" spans="2:27" s="5" customFormat="1" ht="18" customHeight="1">
      <c r="B56" s="26"/>
      <c r="C56" s="175" t="s">
        <v>73</v>
      </c>
      <c r="D56" s="79" t="s">
        <v>7</v>
      </c>
      <c r="E56" s="80"/>
      <c r="F56" s="80"/>
      <c r="G56" s="80"/>
      <c r="H56" s="74"/>
      <c r="I56" s="74">
        <f>_xlfn.IFNA(VLOOKUP($D$4,OtherDSG!$A:$Q,5,FALSE),0)</f>
        <v>0</v>
      </c>
      <c r="J56" s="80"/>
      <c r="K56" s="74"/>
      <c r="L56" s="80"/>
      <c r="M56" s="74">
        <f>_xlfn.IFNA(VLOOKUP($D$4,OtherDSG!$A:$Q,6,FALSE),0)</f>
        <v>0</v>
      </c>
      <c r="N56" s="74"/>
      <c r="O56" s="74"/>
      <c r="P56" s="80"/>
      <c r="Q56" s="207">
        <f t="shared" ref="Q56:Q88" si="22">SUMIF($E$35:$P$35,$Q$35,E56:P56)</f>
        <v>0</v>
      </c>
      <c r="R56" s="89"/>
      <c r="S56" s="94">
        <f t="shared" ref="S56:S58" si="23">SUM(E56:P56)+R56</f>
        <v>0</v>
      </c>
      <c r="T56" s="81"/>
      <c r="U56" s="68"/>
      <c r="V56" s="75"/>
      <c r="X56" s="136"/>
    </row>
    <row r="57" spans="2:27" s="5" customFormat="1" ht="18" customHeight="1">
      <c r="B57" s="26"/>
      <c r="C57" s="175" t="s">
        <v>74</v>
      </c>
      <c r="D57" s="79" t="s">
        <v>4</v>
      </c>
      <c r="E57" s="80"/>
      <c r="F57" s="74">
        <f>_xlfn.IFNA(VLOOKUP($D$4,OtherDSG!$A:$Q,15,FALSE),0)+(_xlfn.IFNA(VLOOKUP($D$4,OtherDSG!$A:$Q,16,FALSE),0)*2/5)</f>
        <v>0</v>
      </c>
      <c r="G57" s="74">
        <f>(_xlfn.IFNA(VLOOKUP($D$4,OtherDSG!$A:$Q,16,FALSE),0)*1/5)</f>
        <v>0</v>
      </c>
      <c r="H57" s="74">
        <f>(_xlfn.IFNA(VLOOKUP($D$4,OtherDSG!$A:$Q,16,FALSE),0)*1/5)</f>
        <v>0</v>
      </c>
      <c r="I57" s="74">
        <f>(_xlfn.IFNA(VLOOKUP($D$4,OtherDSG!$A:$Q,16,FALSE),0)*1/5)</f>
        <v>0</v>
      </c>
      <c r="J57" s="80"/>
      <c r="K57" s="74"/>
      <c r="L57" s="74"/>
      <c r="M57" s="74"/>
      <c r="N57" s="74"/>
      <c r="O57" s="74"/>
      <c r="P57" s="74"/>
      <c r="Q57" s="207">
        <f>SUMIF($E$35:$P$35,$Q$35,E57:P57)</f>
        <v>0</v>
      </c>
      <c r="R57" s="89"/>
      <c r="S57" s="94">
        <f t="shared" si="23"/>
        <v>0</v>
      </c>
      <c r="T57" s="81"/>
      <c r="U57" s="68"/>
      <c r="V57" s="75"/>
      <c r="X57" s="136"/>
    </row>
    <row r="58" spans="2:27" s="5" customFormat="1" ht="18" customHeight="1">
      <c r="B58" s="26"/>
      <c r="C58" s="175" t="s">
        <v>75</v>
      </c>
      <c r="D58" s="79" t="s">
        <v>4</v>
      </c>
      <c r="E58" s="80"/>
      <c r="F58" s="74">
        <f>_xlfn.IFNA(VLOOKUP($D$4,OtherDSG!$A:$Q,12,FALSE),0)+(_xlfn.IFNA(VLOOKUP($D$4,OtherDSG!$A:$Q,13,FALSE),0)*2/5)</f>
        <v>0</v>
      </c>
      <c r="G58" s="74">
        <f>(_xlfn.IFNA(VLOOKUP($D$4,OtherDSG!$A:$Q,13,FALSE),0)*1/5)</f>
        <v>0</v>
      </c>
      <c r="H58" s="74">
        <f>(_xlfn.IFNA(VLOOKUP($D$4,OtherDSG!$A:$Q,13,FALSE),0)*1/5)</f>
        <v>0</v>
      </c>
      <c r="I58" s="74">
        <f>(_xlfn.IFNA(VLOOKUP($D$4,OtherDSG!$A:$Q,13,FALSE),0)*1/5)</f>
        <v>0</v>
      </c>
      <c r="J58" s="74">
        <f>(_xlfn.IFNA(VLOOKUP($D$4,OtherDSG!$A:$Q,14,FALSE),0)*1/7)</f>
        <v>0</v>
      </c>
      <c r="K58" s="74">
        <f>(_xlfn.IFNA(VLOOKUP($D$4,OtherDSG!$A:$Q,14,FALSE),0)*1/7)</f>
        <v>0</v>
      </c>
      <c r="L58" s="74">
        <f>(_xlfn.IFNA(VLOOKUP($D$4,OtherDSG!$A:$Q,14,FALSE),0)*1/7)</f>
        <v>0</v>
      </c>
      <c r="M58" s="74">
        <f>(_xlfn.IFNA(VLOOKUP($D$4,OtherDSG!$A:$Q,14,FALSE),0)*1/7)</f>
        <v>0</v>
      </c>
      <c r="N58" s="74">
        <f>(_xlfn.IFNA(VLOOKUP($D$4,OtherDSG!$A:$Q,14,FALSE),0)*1/7)</f>
        <v>0</v>
      </c>
      <c r="O58" s="74">
        <f>(_xlfn.IFNA(VLOOKUP($D$4,OtherDSG!$A:$Q,14,FALSE),0)*1/7)</f>
        <v>0</v>
      </c>
      <c r="P58" s="74">
        <f>(_xlfn.IFNA(VLOOKUP($D$4,OtherDSG!$A:$Q,14,FALSE),0)*1/7)</f>
        <v>0</v>
      </c>
      <c r="Q58" s="207">
        <f t="shared" si="22"/>
        <v>0</v>
      </c>
      <c r="R58" s="89"/>
      <c r="S58" s="94">
        <f t="shared" si="23"/>
        <v>0</v>
      </c>
      <c r="T58" s="81"/>
      <c r="U58" s="68"/>
      <c r="V58" s="75"/>
      <c r="X58" s="136"/>
    </row>
    <row r="59" spans="2:27" s="5" customFormat="1" ht="18" customHeight="1">
      <c r="B59" s="26"/>
      <c r="C59" s="237" t="s">
        <v>76</v>
      </c>
      <c r="D59" s="237"/>
      <c r="E59" s="206">
        <f t="shared" ref="E59:P59" si="24">SUM(E55:E58)</f>
        <v>0</v>
      </c>
      <c r="F59" s="206">
        <f t="shared" si="24"/>
        <v>0</v>
      </c>
      <c r="G59" s="206">
        <f t="shared" si="24"/>
        <v>0</v>
      </c>
      <c r="H59" s="206">
        <f t="shared" si="24"/>
        <v>0</v>
      </c>
      <c r="I59" s="206">
        <f t="shared" si="24"/>
        <v>0</v>
      </c>
      <c r="J59" s="206">
        <f t="shared" si="24"/>
        <v>0</v>
      </c>
      <c r="K59" s="206">
        <f t="shared" si="24"/>
        <v>0</v>
      </c>
      <c r="L59" s="206">
        <f t="shared" si="24"/>
        <v>0</v>
      </c>
      <c r="M59" s="206">
        <f t="shared" si="24"/>
        <v>31825.003333333334</v>
      </c>
      <c r="N59" s="206">
        <f t="shared" si="24"/>
        <v>0</v>
      </c>
      <c r="O59" s="206">
        <f t="shared" si="24"/>
        <v>0</v>
      </c>
      <c r="P59" s="206">
        <f t="shared" si="24"/>
        <v>0</v>
      </c>
      <c r="Q59" s="207">
        <f>SUM(Q55:Q58)</f>
        <v>31825.003333333334</v>
      </c>
      <c r="R59" s="89"/>
      <c r="S59" s="94"/>
      <c r="T59" s="81"/>
      <c r="U59" s="68"/>
      <c r="V59" s="75"/>
      <c r="X59" s="136"/>
    </row>
    <row r="60" spans="2:27" s="5" customFormat="1" ht="18" customHeight="1">
      <c r="B60" s="26"/>
      <c r="C60" s="212" t="s">
        <v>77</v>
      </c>
      <c r="D60" s="76"/>
      <c r="E60" s="77"/>
      <c r="F60" s="77"/>
      <c r="G60" s="77"/>
      <c r="H60" s="77"/>
      <c r="I60" s="97"/>
      <c r="J60" s="213"/>
      <c r="K60" s="97"/>
      <c r="L60" s="97"/>
      <c r="M60" s="97"/>
      <c r="N60" s="97"/>
      <c r="O60" s="97"/>
      <c r="P60" s="97"/>
      <c r="Q60" s="78"/>
      <c r="R60" s="78"/>
      <c r="S60" s="77"/>
      <c r="T60" s="214"/>
      <c r="U60" s="215"/>
      <c r="V60" s="75"/>
      <c r="X60" s="136"/>
    </row>
    <row r="61" spans="2:27" s="5" customFormat="1" ht="18" hidden="1" customHeight="1">
      <c r="B61" s="26"/>
      <c r="C61" s="197" t="s">
        <v>78</v>
      </c>
      <c r="D61" s="79" t="s">
        <v>4</v>
      </c>
      <c r="E61" s="74"/>
      <c r="F61" s="74"/>
      <c r="G61" s="74"/>
      <c r="H61" s="74"/>
      <c r="I61" s="74"/>
      <c r="J61" s="74"/>
      <c r="K61" s="90"/>
      <c r="L61" s="90"/>
      <c r="M61" s="90"/>
      <c r="N61" s="90"/>
      <c r="O61" s="90"/>
      <c r="P61" s="91"/>
      <c r="Q61" s="207">
        <f t="shared" si="22"/>
        <v>0</v>
      </c>
      <c r="R61" s="72"/>
      <c r="S61" s="94">
        <f>SUM(E61:P61)+R61</f>
        <v>0</v>
      </c>
      <c r="T61" s="81"/>
      <c r="U61" s="68"/>
      <c r="V61" s="68"/>
      <c r="W61" s="131"/>
      <c r="X61" s="133"/>
      <c r="Y61" s="130"/>
      <c r="Z61" s="130"/>
    </row>
    <row r="62" spans="2:27" s="5" customFormat="1" ht="18" hidden="1" customHeight="1">
      <c r="B62" s="26"/>
      <c r="C62" s="197" t="s">
        <v>79</v>
      </c>
      <c r="D62" s="79" t="s">
        <v>4</v>
      </c>
      <c r="E62" s="74"/>
      <c r="F62" s="74"/>
      <c r="G62" s="74"/>
      <c r="H62" s="74"/>
      <c r="I62" s="74"/>
      <c r="J62" s="74"/>
      <c r="K62" s="90"/>
      <c r="L62" s="90"/>
      <c r="M62" s="90"/>
      <c r="N62" s="90"/>
      <c r="O62" s="90"/>
      <c r="P62" s="91"/>
      <c r="Q62" s="207">
        <f t="shared" si="22"/>
        <v>0</v>
      </c>
      <c r="R62" s="72"/>
      <c r="S62" s="94">
        <f t="shared" ref="S62:S88" si="25">SUM(E62:P62)+R62</f>
        <v>0</v>
      </c>
      <c r="T62" s="81"/>
      <c r="U62" s="68"/>
      <c r="V62" s="68"/>
      <c r="W62" s="131"/>
      <c r="X62" s="133"/>
      <c r="Y62" s="130"/>
      <c r="Z62" s="130"/>
    </row>
    <row r="63" spans="2:27" s="5" customFormat="1" ht="18" hidden="1" customHeight="1">
      <c r="B63" s="26"/>
      <c r="C63" s="197" t="s">
        <v>80</v>
      </c>
      <c r="D63" s="79" t="s">
        <v>4</v>
      </c>
      <c r="E63" s="74"/>
      <c r="F63" s="74"/>
      <c r="G63" s="74"/>
      <c r="H63" s="74"/>
      <c r="I63" s="74"/>
      <c r="J63" s="74"/>
      <c r="K63" s="90"/>
      <c r="L63" s="90"/>
      <c r="M63" s="90"/>
      <c r="N63" s="90"/>
      <c r="O63" s="90"/>
      <c r="P63" s="91"/>
      <c r="Q63" s="207">
        <f t="shared" si="22"/>
        <v>0</v>
      </c>
      <c r="R63" s="72"/>
      <c r="S63" s="94">
        <f t="shared" si="25"/>
        <v>0</v>
      </c>
      <c r="T63" s="81"/>
      <c r="U63" s="68"/>
      <c r="V63" s="68"/>
      <c r="W63" s="131"/>
      <c r="X63" s="133"/>
      <c r="Y63" s="130"/>
      <c r="Z63" s="130"/>
    </row>
    <row r="64" spans="2:27" s="5" customFormat="1" ht="18" customHeight="1">
      <c r="B64" s="26"/>
      <c r="C64" s="197" t="s">
        <v>496</v>
      </c>
      <c r="D64" s="79" t="s">
        <v>4</v>
      </c>
      <c r="E64" s="74"/>
      <c r="F64" s="74"/>
      <c r="G64" s="74"/>
      <c r="H64" s="74"/>
      <c r="I64" s="74"/>
      <c r="J64" s="74"/>
      <c r="K64" s="90"/>
      <c r="L64" s="74">
        <f>_xlfn.IFNA(VLOOKUP($D$4,Grants!$A:$Q,9,FALSE),0)</f>
        <v>0</v>
      </c>
      <c r="M64" s="90"/>
      <c r="N64" s="90"/>
      <c r="O64" s="90"/>
      <c r="P64" s="91"/>
      <c r="Q64" s="207">
        <f t="shared" si="22"/>
        <v>0</v>
      </c>
      <c r="R64" s="72"/>
      <c r="S64" s="94">
        <f t="shared" si="25"/>
        <v>0</v>
      </c>
      <c r="T64" s="81"/>
      <c r="U64" s="68"/>
      <c r="V64" s="68"/>
      <c r="W64" s="131"/>
      <c r="X64" s="133"/>
      <c r="Y64" s="130"/>
      <c r="Z64" s="130"/>
    </row>
    <row r="65" spans="2:26" s="5" customFormat="1" ht="18" customHeight="1">
      <c r="B65" s="26"/>
      <c r="C65" s="197" t="s">
        <v>497</v>
      </c>
      <c r="D65" s="79" t="s">
        <v>4</v>
      </c>
      <c r="E65" s="74"/>
      <c r="F65" s="74"/>
      <c r="G65" s="74"/>
      <c r="H65" s="74"/>
      <c r="I65" s="74"/>
      <c r="J65" s="74"/>
      <c r="K65" s="90"/>
      <c r="L65" s="74">
        <f>_xlfn.IFNA(VLOOKUP($D$4,Grants!$A:$Q,10,FALSE),0)</f>
        <v>0</v>
      </c>
      <c r="M65" s="90"/>
      <c r="N65" s="90"/>
      <c r="O65" s="90"/>
      <c r="P65" s="91"/>
      <c r="Q65" s="207">
        <f t="shared" si="22"/>
        <v>0</v>
      </c>
      <c r="R65" s="72"/>
      <c r="S65" s="94">
        <f t="shared" si="25"/>
        <v>0</v>
      </c>
      <c r="T65" s="81"/>
      <c r="U65" s="68"/>
      <c r="V65" s="68"/>
      <c r="W65" s="131"/>
      <c r="X65" s="133"/>
      <c r="Y65" s="130"/>
      <c r="Z65" s="130"/>
    </row>
    <row r="66" spans="2:26" s="5" customFormat="1" ht="18" hidden="1" customHeight="1">
      <c r="B66" s="26"/>
      <c r="C66" s="285" t="s">
        <v>81</v>
      </c>
      <c r="D66" s="218" t="s">
        <v>4</v>
      </c>
      <c r="E66" s="74"/>
      <c r="F66" s="74"/>
      <c r="G66" s="74"/>
      <c r="H66" s="74"/>
      <c r="I66" s="74"/>
      <c r="J66" s="74"/>
      <c r="K66" s="90"/>
      <c r="L66" s="74">
        <f>_xlfn.IFNA(VLOOKUP($D$4,Grants!$A:$Q,8,FALSE),0)</f>
        <v>0</v>
      </c>
      <c r="M66" s="90"/>
      <c r="N66" s="90"/>
      <c r="O66" s="90"/>
      <c r="P66" s="91"/>
      <c r="Q66" s="207">
        <f t="shared" si="22"/>
        <v>0</v>
      </c>
      <c r="R66" s="72"/>
      <c r="S66" s="94">
        <f t="shared" si="25"/>
        <v>0</v>
      </c>
      <c r="T66" s="81"/>
      <c r="U66" s="68"/>
      <c r="V66" s="68"/>
      <c r="W66" s="131"/>
      <c r="X66" s="133"/>
      <c r="Y66" s="130"/>
      <c r="Z66" s="130"/>
    </row>
    <row r="67" spans="2:26" s="5" customFormat="1" ht="18" customHeight="1">
      <c r="B67" s="26"/>
      <c r="C67" s="197" t="s">
        <v>474</v>
      </c>
      <c r="D67" s="284" t="s">
        <v>4</v>
      </c>
      <c r="E67" s="74"/>
      <c r="F67" s="74"/>
      <c r="G67" s="74"/>
      <c r="H67" s="74"/>
      <c r="I67" s="74"/>
      <c r="J67" s="74">
        <f>_xlfn.IFNA(VLOOKUP($D$4,Grants!$A:$Q,6,FALSE),0)</f>
        <v>0</v>
      </c>
      <c r="K67" s="90"/>
      <c r="L67" s="74"/>
      <c r="M67" s="90"/>
      <c r="N67" s="90"/>
      <c r="O67" s="90"/>
      <c r="P67" s="91"/>
      <c r="Q67" s="207">
        <f t="shared" si="22"/>
        <v>0</v>
      </c>
      <c r="R67" s="72"/>
      <c r="S67" s="94">
        <f t="shared" si="25"/>
        <v>0</v>
      </c>
      <c r="T67" s="81"/>
      <c r="U67" s="68"/>
      <c r="V67" s="68"/>
      <c r="W67" s="131"/>
      <c r="X67" s="133"/>
      <c r="Y67" s="130"/>
      <c r="Z67" s="130"/>
    </row>
    <row r="68" spans="2:26" s="5" customFormat="1" ht="18" hidden="1" customHeight="1">
      <c r="B68" s="26"/>
      <c r="C68" s="286" t="s">
        <v>82</v>
      </c>
      <c r="D68" s="218" t="s">
        <v>4</v>
      </c>
      <c r="E68" s="74"/>
      <c r="F68" s="74"/>
      <c r="G68" s="74"/>
      <c r="H68" s="74"/>
      <c r="I68" s="74"/>
      <c r="J68" s="74"/>
      <c r="K68" s="90"/>
      <c r="L68" s="74">
        <f>_xlfn.IFNA(VLOOKUP($D$4,Grants!$A:$Q,8,FALSE),0)</f>
        <v>0</v>
      </c>
      <c r="M68" s="90"/>
      <c r="N68" s="90"/>
      <c r="O68" s="90"/>
      <c r="P68" s="91"/>
      <c r="Q68" s="207">
        <f t="shared" si="22"/>
        <v>0</v>
      </c>
      <c r="R68" s="72"/>
      <c r="S68" s="94">
        <f t="shared" si="25"/>
        <v>0</v>
      </c>
      <c r="T68" s="81"/>
      <c r="U68" s="68"/>
      <c r="V68" s="68"/>
      <c r="W68" s="131"/>
      <c r="X68" s="133"/>
      <c r="Y68" s="130"/>
      <c r="Z68" s="130"/>
    </row>
    <row r="69" spans="2:26" s="5" customFormat="1" ht="18" hidden="1" customHeight="1">
      <c r="B69" s="26"/>
      <c r="C69" s="18" t="s">
        <v>83</v>
      </c>
      <c r="D69" s="79" t="s">
        <v>8</v>
      </c>
      <c r="E69" s="74"/>
      <c r="F69" s="74"/>
      <c r="G69" s="74"/>
      <c r="H69" s="74"/>
      <c r="I69" s="74"/>
      <c r="J69" s="74"/>
      <c r="K69" s="90"/>
      <c r="L69" s="74">
        <f>_xlfn.IFNA(VLOOKUP($D$4,Grants!$A:$Q,8,FALSE),0)</f>
        <v>0</v>
      </c>
      <c r="M69" s="90"/>
      <c r="N69" s="90"/>
      <c r="O69" s="90"/>
      <c r="P69" s="91"/>
      <c r="Q69" s="207">
        <f t="shared" si="22"/>
        <v>0</v>
      </c>
      <c r="R69" s="72"/>
      <c r="S69" s="94">
        <f t="shared" si="25"/>
        <v>0</v>
      </c>
      <c r="T69" s="81"/>
      <c r="U69" s="68"/>
      <c r="V69" s="68"/>
      <c r="W69" s="138"/>
      <c r="X69" s="136"/>
    </row>
    <row r="70" spans="2:26" s="5" customFormat="1" ht="18" hidden="1" customHeight="1">
      <c r="B70" s="26"/>
      <c r="C70" s="197" t="s">
        <v>84</v>
      </c>
      <c r="D70" s="79" t="s">
        <v>8</v>
      </c>
      <c r="E70" s="74"/>
      <c r="F70" s="74"/>
      <c r="G70" s="74"/>
      <c r="H70" s="74"/>
      <c r="I70" s="74"/>
      <c r="J70" s="74"/>
      <c r="K70" s="90"/>
      <c r="L70" s="74">
        <f>_xlfn.IFNA(VLOOKUP($D$4,Grants!$A:$Q,8,FALSE),0)</f>
        <v>0</v>
      </c>
      <c r="M70" s="91"/>
      <c r="N70" s="90"/>
      <c r="O70" s="90"/>
      <c r="P70" s="91"/>
      <c r="Q70" s="207">
        <f t="shared" si="22"/>
        <v>0</v>
      </c>
      <c r="R70" s="72"/>
      <c r="S70" s="94">
        <f t="shared" si="25"/>
        <v>0</v>
      </c>
      <c r="T70" s="81"/>
      <c r="U70" s="68"/>
      <c r="V70" s="68"/>
      <c r="W70" s="138"/>
      <c r="X70" s="136"/>
    </row>
    <row r="71" spans="2:26" s="5" customFormat="1" ht="18" customHeight="1">
      <c r="B71" s="26"/>
      <c r="C71" s="197" t="s">
        <v>85</v>
      </c>
      <c r="D71" s="79" t="s">
        <v>7</v>
      </c>
      <c r="E71" s="74"/>
      <c r="F71" s="74"/>
      <c r="G71" s="74"/>
      <c r="H71" s="74">
        <f>_xlfn.IFNA(VLOOKUP($D$4,Grants!$A:$Q,5,FALSE),0)</f>
        <v>0</v>
      </c>
      <c r="I71" s="74"/>
      <c r="J71" s="74"/>
      <c r="K71" s="74">
        <f>_xlfn.IFNA(VLOOKUP($D$4,Grants!$A:$Q,7,FALSE),0)</f>
        <v>0</v>
      </c>
      <c r="L71" s="74">
        <f>_xlfn.IFNA(VLOOKUP($D$4,Grants!$A:$Q,8,FALSE),0)</f>
        <v>0</v>
      </c>
      <c r="M71" s="91"/>
      <c r="N71" s="90"/>
      <c r="O71" s="90"/>
      <c r="P71" s="91"/>
      <c r="Q71" s="207">
        <f>SUMIF($E$35:$P$35,$Q$35,E71:P71)</f>
        <v>0</v>
      </c>
      <c r="R71" s="72"/>
      <c r="S71" s="94">
        <f t="shared" si="25"/>
        <v>0</v>
      </c>
      <c r="T71" s="81"/>
      <c r="U71" s="68"/>
      <c r="V71" s="68"/>
      <c r="W71" s="138"/>
      <c r="X71" s="136"/>
    </row>
    <row r="72" spans="2:26" s="5" customFormat="1" ht="18" hidden="1" customHeight="1">
      <c r="B72" s="26"/>
      <c r="C72" s="197" t="s">
        <v>86</v>
      </c>
      <c r="D72" s="79" t="s">
        <v>87</v>
      </c>
      <c r="E72" s="74"/>
      <c r="F72" s="74"/>
      <c r="G72" s="74"/>
      <c r="H72" s="74"/>
      <c r="I72" s="74"/>
      <c r="J72" s="74"/>
      <c r="K72" s="90"/>
      <c r="L72" s="90"/>
      <c r="M72" s="90"/>
      <c r="N72" s="90"/>
      <c r="O72" s="90"/>
      <c r="P72" s="91"/>
      <c r="Q72" s="207">
        <f t="shared" si="22"/>
        <v>0</v>
      </c>
      <c r="R72" s="72"/>
      <c r="S72" s="94">
        <f t="shared" si="25"/>
        <v>0</v>
      </c>
      <c r="T72" s="81"/>
      <c r="U72" s="68"/>
      <c r="V72" s="241" t="s">
        <v>88</v>
      </c>
      <c r="W72" s="138"/>
      <c r="X72" s="136"/>
    </row>
    <row r="73" spans="2:26" s="5" customFormat="1" ht="18" hidden="1" customHeight="1">
      <c r="B73" s="26"/>
      <c r="C73" s="197" t="s">
        <v>89</v>
      </c>
      <c r="D73" s="79" t="s">
        <v>90</v>
      </c>
      <c r="E73" s="74"/>
      <c r="F73" s="74"/>
      <c r="G73" s="74"/>
      <c r="H73" s="74"/>
      <c r="I73" s="74"/>
      <c r="J73" s="74"/>
      <c r="K73" s="90"/>
      <c r="L73" s="90"/>
      <c r="M73" s="90"/>
      <c r="N73" s="90"/>
      <c r="O73" s="90"/>
      <c r="P73" s="91"/>
      <c r="Q73" s="207">
        <f t="shared" si="22"/>
        <v>0</v>
      </c>
      <c r="R73" s="72"/>
      <c r="S73" s="94">
        <f t="shared" si="25"/>
        <v>0</v>
      </c>
      <c r="T73" s="81"/>
      <c r="U73" s="68"/>
      <c r="V73" s="68"/>
      <c r="W73" s="131"/>
      <c r="X73" s="133"/>
      <c r="Y73" s="130"/>
      <c r="Z73" s="130"/>
    </row>
    <row r="74" spans="2:26" s="5" customFormat="1" ht="18" hidden="1" customHeight="1">
      <c r="B74" s="26"/>
      <c r="C74" s="18" t="s">
        <v>91</v>
      </c>
      <c r="D74" s="79" t="s">
        <v>90</v>
      </c>
      <c r="E74" s="74"/>
      <c r="F74" s="74"/>
      <c r="G74" s="74"/>
      <c r="H74" s="74"/>
      <c r="I74" s="74"/>
      <c r="J74" s="74"/>
      <c r="K74" s="90"/>
      <c r="L74" s="90"/>
      <c r="M74" s="90"/>
      <c r="N74" s="90"/>
      <c r="O74" s="90"/>
      <c r="P74" s="91"/>
      <c r="Q74" s="207">
        <f t="shared" si="22"/>
        <v>0</v>
      </c>
      <c r="R74" s="72"/>
      <c r="S74" s="94">
        <f t="shared" si="25"/>
        <v>0</v>
      </c>
      <c r="T74" s="81"/>
      <c r="U74" s="68"/>
      <c r="V74" s="68"/>
      <c r="W74" s="138"/>
      <c r="X74" s="136"/>
    </row>
    <row r="75" spans="2:26" s="5" customFormat="1" ht="18" hidden="1" customHeight="1">
      <c r="B75" s="26"/>
      <c r="C75" s="18" t="s">
        <v>92</v>
      </c>
      <c r="D75" s="79" t="s">
        <v>90</v>
      </c>
      <c r="E75" s="74"/>
      <c r="F75" s="74"/>
      <c r="G75" s="74"/>
      <c r="H75" s="74"/>
      <c r="I75" s="74"/>
      <c r="J75" s="74"/>
      <c r="K75" s="90"/>
      <c r="L75" s="90"/>
      <c r="M75" s="90"/>
      <c r="N75" s="90"/>
      <c r="O75" s="90"/>
      <c r="P75" s="91"/>
      <c r="Q75" s="207">
        <f t="shared" si="22"/>
        <v>0</v>
      </c>
      <c r="R75" s="72"/>
      <c r="S75" s="94">
        <f t="shared" si="25"/>
        <v>0</v>
      </c>
      <c r="T75" s="81"/>
      <c r="U75" s="68"/>
      <c r="V75" s="68"/>
      <c r="W75" s="138"/>
      <c r="X75" s="136"/>
    </row>
    <row r="76" spans="2:26" s="5" customFormat="1" ht="18" hidden="1" customHeight="1">
      <c r="B76" s="26"/>
      <c r="C76" s="18" t="s">
        <v>93</v>
      </c>
      <c r="D76" s="79" t="s">
        <v>90</v>
      </c>
      <c r="E76" s="74"/>
      <c r="F76" s="74"/>
      <c r="G76" s="74"/>
      <c r="H76" s="74"/>
      <c r="I76" s="74"/>
      <c r="J76" s="74"/>
      <c r="K76" s="90"/>
      <c r="L76" s="90"/>
      <c r="M76" s="90"/>
      <c r="N76" s="90"/>
      <c r="O76" s="74"/>
      <c r="P76" s="91"/>
      <c r="Q76" s="207">
        <f t="shared" si="22"/>
        <v>0</v>
      </c>
      <c r="R76" s="72"/>
      <c r="S76" s="94">
        <f t="shared" si="25"/>
        <v>0</v>
      </c>
      <c r="T76" s="81"/>
      <c r="U76" s="68"/>
      <c r="V76" s="68"/>
      <c r="W76" s="138"/>
      <c r="X76" s="136"/>
    </row>
    <row r="77" spans="2:26" s="5" customFormat="1" ht="18" hidden="1" customHeight="1">
      <c r="B77" s="26"/>
      <c r="C77" s="18" t="s">
        <v>94</v>
      </c>
      <c r="D77" s="79" t="s">
        <v>90</v>
      </c>
      <c r="E77" s="74"/>
      <c r="F77" s="74"/>
      <c r="G77" s="74"/>
      <c r="H77" s="74"/>
      <c r="I77" s="74"/>
      <c r="J77" s="74"/>
      <c r="K77" s="90"/>
      <c r="L77" s="90"/>
      <c r="M77" s="90"/>
      <c r="N77" s="90"/>
      <c r="O77" s="74"/>
      <c r="P77" s="91"/>
      <c r="Q77" s="207">
        <f t="shared" si="22"/>
        <v>0</v>
      </c>
      <c r="R77" s="72"/>
      <c r="S77" s="94">
        <f t="shared" si="25"/>
        <v>0</v>
      </c>
      <c r="T77" s="81"/>
      <c r="U77" s="68"/>
      <c r="V77" s="68"/>
      <c r="W77" s="138"/>
      <c r="X77" s="136"/>
    </row>
    <row r="78" spans="2:26" s="5" customFormat="1" ht="18" hidden="1" customHeight="1">
      <c r="B78" s="26"/>
      <c r="C78" s="197" t="s">
        <v>95</v>
      </c>
      <c r="D78" s="79" t="s">
        <v>90</v>
      </c>
      <c r="E78" s="74"/>
      <c r="F78" s="74"/>
      <c r="G78" s="74"/>
      <c r="H78" s="74"/>
      <c r="I78" s="74"/>
      <c r="J78" s="74"/>
      <c r="K78" s="90"/>
      <c r="L78" s="90"/>
      <c r="M78" s="90"/>
      <c r="N78" s="90"/>
      <c r="O78" s="90"/>
      <c r="P78" s="91"/>
      <c r="Q78" s="207">
        <f t="shared" si="22"/>
        <v>0</v>
      </c>
      <c r="R78" s="72"/>
      <c r="S78" s="94">
        <f t="shared" si="25"/>
        <v>0</v>
      </c>
      <c r="T78" s="81"/>
      <c r="U78" s="68"/>
      <c r="V78" s="68"/>
      <c r="W78" s="138"/>
      <c r="X78" s="136"/>
    </row>
    <row r="79" spans="2:26" s="5" customFormat="1" ht="18" hidden="1" customHeight="1">
      <c r="B79" s="26"/>
      <c r="C79" s="197" t="s">
        <v>96</v>
      </c>
      <c r="D79" s="79"/>
      <c r="E79" s="74"/>
      <c r="F79" s="74"/>
      <c r="G79" s="74"/>
      <c r="H79" s="74"/>
      <c r="I79" s="74"/>
      <c r="J79" s="74"/>
      <c r="K79" s="90"/>
      <c r="L79" s="90"/>
      <c r="M79" s="90"/>
      <c r="N79" s="240"/>
      <c r="O79" s="74"/>
      <c r="P79" s="91"/>
      <c r="Q79" s="207">
        <f>SUMIF($E$35:$P$35,$Q$35,E79:P79)</f>
        <v>0</v>
      </c>
      <c r="R79" s="72"/>
      <c r="S79" s="94">
        <f t="shared" si="25"/>
        <v>0</v>
      </c>
      <c r="T79" s="81"/>
      <c r="U79" s="68"/>
      <c r="V79" s="68"/>
      <c r="W79" s="131"/>
      <c r="X79" s="133"/>
      <c r="Y79" s="130"/>
      <c r="Z79" s="130"/>
    </row>
    <row r="80" spans="2:26" s="5" customFormat="1" ht="18" hidden="1" customHeight="1">
      <c r="B80" s="26"/>
      <c r="C80" s="197" t="s">
        <v>98</v>
      </c>
      <c r="D80" s="79"/>
      <c r="E80" s="74"/>
      <c r="F80" s="74"/>
      <c r="G80" s="74"/>
      <c r="H80" s="74"/>
      <c r="I80" s="74"/>
      <c r="J80" s="74"/>
      <c r="K80" s="90"/>
      <c r="L80" s="90"/>
      <c r="M80" s="90"/>
      <c r="N80" s="90"/>
      <c r="O80" s="90"/>
      <c r="P80" s="91"/>
      <c r="Q80" s="207">
        <f t="shared" si="22"/>
        <v>0</v>
      </c>
      <c r="R80" s="72"/>
      <c r="S80" s="94">
        <f t="shared" si="25"/>
        <v>0</v>
      </c>
      <c r="T80" s="81"/>
      <c r="U80" s="68"/>
      <c r="V80" s="68"/>
      <c r="W80" s="131"/>
      <c r="X80" s="133"/>
      <c r="Y80" s="130"/>
      <c r="Z80" s="130"/>
    </row>
    <row r="81" spans="2:26" s="5" customFormat="1" ht="18" hidden="1" customHeight="1">
      <c r="B81" s="26"/>
      <c r="C81" s="235" t="s">
        <v>99</v>
      </c>
      <c r="D81" s="79"/>
      <c r="E81" s="74"/>
      <c r="F81" s="74"/>
      <c r="G81" s="74"/>
      <c r="H81" s="74"/>
      <c r="I81" s="74"/>
      <c r="J81" s="74"/>
      <c r="K81" s="90"/>
      <c r="L81" s="90"/>
      <c r="M81" s="90"/>
      <c r="N81" s="90"/>
      <c r="O81" s="90"/>
      <c r="P81" s="91"/>
      <c r="Q81" s="207">
        <f t="shared" si="22"/>
        <v>0</v>
      </c>
      <c r="R81" s="72"/>
      <c r="S81" s="94">
        <f t="shared" si="25"/>
        <v>0</v>
      </c>
      <c r="T81" s="81"/>
      <c r="U81" s="68"/>
      <c r="V81" s="68"/>
      <c r="W81" s="131"/>
      <c r="X81" s="133"/>
      <c r="Y81" s="130"/>
      <c r="Z81" s="130"/>
    </row>
    <row r="82" spans="2:26" s="5" customFormat="1" ht="18" hidden="1" customHeight="1">
      <c r="B82" s="26"/>
      <c r="C82" s="235" t="s">
        <v>100</v>
      </c>
      <c r="D82" s="79"/>
      <c r="E82" s="74"/>
      <c r="F82" s="74"/>
      <c r="G82" s="74"/>
      <c r="H82" s="74"/>
      <c r="I82" s="74"/>
      <c r="J82" s="74"/>
      <c r="K82" s="90"/>
      <c r="L82" s="90"/>
      <c r="M82" s="90"/>
      <c r="N82" s="90"/>
      <c r="O82" s="90"/>
      <c r="P82" s="91"/>
      <c r="Q82" s="207">
        <f t="shared" si="22"/>
        <v>0</v>
      </c>
      <c r="R82" s="72"/>
      <c r="S82" s="94">
        <f t="shared" si="25"/>
        <v>0</v>
      </c>
      <c r="T82" s="81"/>
      <c r="U82" s="68"/>
      <c r="V82" s="68"/>
      <c r="W82" s="131"/>
      <c r="X82" s="133"/>
      <c r="Y82" s="130"/>
      <c r="Z82" s="130"/>
    </row>
    <row r="83" spans="2:26" s="5" customFormat="1" ht="18" hidden="1" customHeight="1">
      <c r="B83" s="26"/>
      <c r="C83" s="197" t="s">
        <v>101</v>
      </c>
      <c r="D83" s="79" t="s">
        <v>90</v>
      </c>
      <c r="E83" s="74"/>
      <c r="F83" s="74">
        <f>_xlfn.IFNA(VLOOKUP($D$4,Grants!$A:$AS,8,FALSE),0)</f>
        <v>0</v>
      </c>
      <c r="G83" s="74"/>
      <c r="H83" s="74"/>
      <c r="I83" s="74"/>
      <c r="J83" s="74"/>
      <c r="K83" s="90"/>
      <c r="L83" s="90"/>
      <c r="M83" s="90"/>
      <c r="N83" s="90"/>
      <c r="O83" s="74"/>
      <c r="P83" s="91"/>
      <c r="Q83" s="207">
        <f t="shared" si="22"/>
        <v>0</v>
      </c>
      <c r="R83" s="72"/>
      <c r="S83" s="94">
        <f t="shared" si="25"/>
        <v>0</v>
      </c>
      <c r="T83" s="81"/>
      <c r="U83" s="68"/>
      <c r="V83" s="68"/>
      <c r="W83" s="131"/>
      <c r="X83" s="133"/>
      <c r="Y83" s="130"/>
      <c r="Z83" s="130"/>
    </row>
    <row r="84" spans="2:26" s="5" customFormat="1" ht="18" hidden="1" customHeight="1">
      <c r="B84" s="26"/>
      <c r="C84" s="197" t="s">
        <v>103</v>
      </c>
      <c r="D84" s="79" t="s">
        <v>90</v>
      </c>
      <c r="E84" s="74"/>
      <c r="F84" s="74"/>
      <c r="G84" s="74"/>
      <c r="H84" s="74"/>
      <c r="I84" s="74"/>
      <c r="J84" s="74"/>
      <c r="K84" s="90"/>
      <c r="L84" s="90"/>
      <c r="M84" s="90"/>
      <c r="N84" s="90"/>
      <c r="O84" s="90"/>
      <c r="P84" s="91"/>
      <c r="Q84" s="207">
        <f t="shared" si="22"/>
        <v>0</v>
      </c>
      <c r="R84" s="72"/>
      <c r="S84" s="94">
        <f t="shared" si="25"/>
        <v>0</v>
      </c>
      <c r="T84" s="81"/>
      <c r="U84" s="68"/>
      <c r="V84" s="68"/>
      <c r="W84" s="131"/>
      <c r="X84" s="133"/>
      <c r="Y84" s="130"/>
      <c r="Z84" s="130"/>
    </row>
    <row r="85" spans="2:26" s="5" customFormat="1" ht="18" hidden="1" customHeight="1">
      <c r="B85" s="26"/>
      <c r="C85" s="197" t="s">
        <v>104</v>
      </c>
      <c r="D85" s="79" t="s">
        <v>90</v>
      </c>
      <c r="E85" s="74"/>
      <c r="F85" s="74"/>
      <c r="G85" s="74"/>
      <c r="H85" s="74"/>
      <c r="I85" s="74"/>
      <c r="J85" s="74"/>
      <c r="K85" s="90"/>
      <c r="L85" s="90"/>
      <c r="M85" s="90"/>
      <c r="N85" s="90"/>
      <c r="O85" s="90"/>
      <c r="P85" s="91"/>
      <c r="Q85" s="207">
        <f t="shared" si="22"/>
        <v>0</v>
      </c>
      <c r="R85" s="72"/>
      <c r="S85" s="94">
        <f t="shared" si="25"/>
        <v>0</v>
      </c>
      <c r="T85" s="81"/>
      <c r="U85" s="68"/>
      <c r="V85" s="68"/>
      <c r="W85" s="131"/>
      <c r="X85" s="133"/>
      <c r="Y85" s="130"/>
      <c r="Z85" s="130"/>
    </row>
    <row r="86" spans="2:26" s="5" customFormat="1" ht="18" hidden="1" customHeight="1">
      <c r="B86" s="26"/>
      <c r="C86" s="197" t="s">
        <v>204</v>
      </c>
      <c r="D86" s="79" t="s">
        <v>90</v>
      </c>
      <c r="E86" s="74"/>
      <c r="F86" s="74">
        <f>_xlfn.IFNA(VLOOKUP($D$4,Grants!$A:$AS,9,FALSE),0)</f>
        <v>0</v>
      </c>
      <c r="G86" s="74"/>
      <c r="H86" s="74"/>
      <c r="I86" s="74"/>
      <c r="J86" s="74"/>
      <c r="K86" s="90"/>
      <c r="L86" s="90"/>
      <c r="M86" s="90"/>
      <c r="N86" s="90"/>
      <c r="O86" s="90"/>
      <c r="P86" s="91"/>
      <c r="Q86" s="207">
        <f t="shared" si="22"/>
        <v>0</v>
      </c>
      <c r="R86" s="72"/>
      <c r="S86" s="94">
        <f t="shared" si="25"/>
        <v>0</v>
      </c>
      <c r="T86" s="81"/>
      <c r="U86" s="68"/>
      <c r="V86" s="68"/>
      <c r="W86" s="131"/>
      <c r="X86" s="133"/>
      <c r="Y86" s="130"/>
      <c r="Z86" s="130"/>
    </row>
    <row r="87" spans="2:26" s="5" customFormat="1" ht="18" hidden="1" customHeight="1">
      <c r="B87" s="26"/>
      <c r="C87" s="18" t="s">
        <v>105</v>
      </c>
      <c r="D87" s="79" t="s">
        <v>106</v>
      </c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207">
        <f t="shared" si="22"/>
        <v>0</v>
      </c>
      <c r="R87" s="71"/>
      <c r="S87" s="94">
        <f t="shared" si="25"/>
        <v>0</v>
      </c>
      <c r="T87" s="81"/>
      <c r="U87" s="68"/>
      <c r="V87" s="68"/>
      <c r="W87" s="135"/>
      <c r="X87" s="136"/>
    </row>
    <row r="88" spans="2:26" s="5" customFormat="1" ht="18" hidden="1" customHeight="1">
      <c r="B88" s="26"/>
      <c r="C88" s="2" t="s">
        <v>107</v>
      </c>
      <c r="D88" s="79" t="s">
        <v>106</v>
      </c>
      <c r="E88" s="74"/>
      <c r="F88" s="74"/>
      <c r="G88" s="74"/>
      <c r="H88" s="74"/>
      <c r="I88" s="74"/>
      <c r="J88" s="74"/>
      <c r="K88" s="90"/>
      <c r="L88" s="90"/>
      <c r="M88" s="90"/>
      <c r="N88" s="90"/>
      <c r="O88" s="90"/>
      <c r="P88" s="91"/>
      <c r="Q88" s="207">
        <f t="shared" si="22"/>
        <v>0</v>
      </c>
      <c r="R88" s="72"/>
      <c r="S88" s="94">
        <f t="shared" si="25"/>
        <v>0</v>
      </c>
      <c r="T88" s="81"/>
      <c r="U88" s="68"/>
      <c r="V88" s="68"/>
      <c r="W88" s="138"/>
      <c r="X88" s="136"/>
    </row>
    <row r="89" spans="2:26" s="5" customFormat="1" ht="18" customHeight="1">
      <c r="B89" s="26"/>
      <c r="C89" s="49" t="s">
        <v>108</v>
      </c>
      <c r="D89" s="76"/>
      <c r="E89" s="77">
        <f t="shared" ref="E89:Q89" si="26">SUM(E61:E88)</f>
        <v>0</v>
      </c>
      <c r="F89" s="77">
        <f t="shared" si="26"/>
        <v>0</v>
      </c>
      <c r="G89" s="77">
        <f t="shared" si="26"/>
        <v>0</v>
      </c>
      <c r="H89" s="77">
        <f t="shared" si="26"/>
        <v>0</v>
      </c>
      <c r="I89" s="77">
        <f t="shared" si="26"/>
        <v>0</v>
      </c>
      <c r="J89" s="77">
        <f t="shared" si="26"/>
        <v>0</v>
      </c>
      <c r="K89" s="77">
        <f t="shared" si="26"/>
        <v>0</v>
      </c>
      <c r="L89" s="77">
        <f t="shared" si="26"/>
        <v>0</v>
      </c>
      <c r="M89" s="77">
        <f t="shared" si="26"/>
        <v>0</v>
      </c>
      <c r="N89" s="77">
        <f t="shared" si="26"/>
        <v>0</v>
      </c>
      <c r="O89" s="77">
        <f t="shared" si="26"/>
        <v>0</v>
      </c>
      <c r="P89" s="77">
        <f t="shared" si="26"/>
        <v>0</v>
      </c>
      <c r="Q89" s="206">
        <f t="shared" si="26"/>
        <v>0</v>
      </c>
      <c r="R89" s="78">
        <f>SUM(R72:R88)</f>
        <v>0</v>
      </c>
      <c r="S89" s="77">
        <f>SUM(E89:P89)+R89</f>
        <v>0</v>
      </c>
      <c r="T89" s="81"/>
      <c r="U89" s="68"/>
      <c r="V89" s="68"/>
      <c r="W89" s="138"/>
      <c r="X89" s="136"/>
    </row>
    <row r="90" spans="2:26" s="5" customFormat="1" ht="18" customHeight="1">
      <c r="B90" s="26"/>
      <c r="C90" s="48" t="s">
        <v>109</v>
      </c>
      <c r="D90" s="93"/>
      <c r="E90" s="94">
        <f t="shared" ref="E90:Q90" si="27">E89+E52+E59</f>
        <v>0</v>
      </c>
      <c r="F90" s="94">
        <f t="shared" si="27"/>
        <v>0</v>
      </c>
      <c r="G90" s="94">
        <f t="shared" si="27"/>
        <v>0</v>
      </c>
      <c r="H90" s="94">
        <f t="shared" si="27"/>
        <v>0</v>
      </c>
      <c r="I90" s="94">
        <f t="shared" si="27"/>
        <v>0</v>
      </c>
      <c r="J90" s="94">
        <f t="shared" si="27"/>
        <v>18259.745263157893</v>
      </c>
      <c r="K90" s="94">
        <f t="shared" si="27"/>
        <v>0</v>
      </c>
      <c r="L90" s="94">
        <f t="shared" si="27"/>
        <v>0</v>
      </c>
      <c r="M90" s="94">
        <f t="shared" si="27"/>
        <v>31825.003333333334</v>
      </c>
      <c r="N90" s="94">
        <f t="shared" si="27"/>
        <v>18487.406094182828</v>
      </c>
      <c r="O90" s="94">
        <f t="shared" si="27"/>
        <v>0</v>
      </c>
      <c r="P90" s="94">
        <f t="shared" si="27"/>
        <v>0</v>
      </c>
      <c r="Q90" s="94">
        <f t="shared" si="27"/>
        <v>50084.748596491227</v>
      </c>
      <c r="R90" s="94">
        <f>SUM(R72:R88)</f>
        <v>0</v>
      </c>
      <c r="S90" s="94">
        <f>SUM(E90:P90)+R90</f>
        <v>68572.154690674055</v>
      </c>
      <c r="T90" s="81"/>
      <c r="U90" s="68"/>
      <c r="V90" s="68"/>
      <c r="W90" s="138"/>
      <c r="X90" s="136"/>
    </row>
    <row r="91" spans="2:26" s="5" customFormat="1" ht="18" customHeight="1">
      <c r="B91" s="26"/>
      <c r="C91" s="49" t="s">
        <v>110</v>
      </c>
      <c r="D91" s="95"/>
      <c r="E91" s="96">
        <f t="shared" ref="E91:P91" si="28">E90-E89-E52-E59</f>
        <v>0</v>
      </c>
      <c r="F91" s="96">
        <f t="shared" si="28"/>
        <v>0</v>
      </c>
      <c r="G91" s="96">
        <f t="shared" si="28"/>
        <v>0</v>
      </c>
      <c r="H91" s="96">
        <f t="shared" si="28"/>
        <v>0</v>
      </c>
      <c r="I91" s="96">
        <f t="shared" si="28"/>
        <v>0</v>
      </c>
      <c r="J91" s="96">
        <f t="shared" si="28"/>
        <v>0</v>
      </c>
      <c r="K91" s="96">
        <f t="shared" si="28"/>
        <v>0</v>
      </c>
      <c r="L91" s="96">
        <f t="shared" si="28"/>
        <v>0</v>
      </c>
      <c r="M91" s="96">
        <f t="shared" si="28"/>
        <v>0</v>
      </c>
      <c r="N91" s="96">
        <f t="shared" si="28"/>
        <v>0</v>
      </c>
      <c r="O91" s="96">
        <f t="shared" si="28"/>
        <v>0</v>
      </c>
      <c r="P91" s="96">
        <f t="shared" si="28"/>
        <v>0</v>
      </c>
      <c r="Q91" s="96">
        <f>Q90-Q89-Q52-Q59</f>
        <v>0</v>
      </c>
      <c r="R91" s="97"/>
      <c r="S91" s="77">
        <f>SUM(E91:R91)-Q91</f>
        <v>0</v>
      </c>
      <c r="T91" s="81"/>
      <c r="U91" s="68"/>
      <c r="V91" s="45"/>
      <c r="W91" s="134"/>
      <c r="X91" s="135"/>
    </row>
    <row r="92" spans="2:26">
      <c r="B92" s="14"/>
      <c r="D92" s="119"/>
      <c r="E92" s="117"/>
      <c r="F92" s="117"/>
      <c r="G92" s="117"/>
      <c r="H92" s="117"/>
      <c r="I92" s="120"/>
      <c r="J92" s="120"/>
      <c r="K92" s="120"/>
      <c r="L92" s="120"/>
      <c r="M92" s="120"/>
      <c r="N92" s="120"/>
      <c r="O92" s="120"/>
      <c r="P92" s="295"/>
      <c r="Q92" s="295"/>
      <c r="R92" s="295"/>
      <c r="S92" s="121"/>
      <c r="T92" s="98"/>
      <c r="U92" s="45"/>
      <c r="V92" s="45"/>
    </row>
    <row r="93" spans="2:26" ht="15" thickBot="1">
      <c r="B93" s="14"/>
      <c r="F93" s="117"/>
      <c r="G93" s="117"/>
      <c r="H93" s="117"/>
      <c r="I93" s="123"/>
      <c r="J93" s="123"/>
      <c r="K93" s="123"/>
      <c r="L93" s="123"/>
      <c r="M93" s="120"/>
      <c r="N93" s="120"/>
      <c r="O93" s="120"/>
      <c r="P93" s="295"/>
      <c r="Q93" s="295"/>
      <c r="R93" s="295"/>
      <c r="S93" s="124"/>
      <c r="T93" s="98"/>
      <c r="U93" s="45"/>
      <c r="V93" s="45"/>
    </row>
    <row r="94" spans="2:26" ht="15.5" hidden="1">
      <c r="B94" s="14"/>
      <c r="E94" s="148">
        <v>45748</v>
      </c>
      <c r="F94" s="148">
        <v>45778</v>
      </c>
      <c r="G94" s="148">
        <v>45809</v>
      </c>
      <c r="H94" s="148">
        <v>45839</v>
      </c>
      <c r="I94" s="148">
        <v>45870</v>
      </c>
      <c r="J94" s="148">
        <v>45901</v>
      </c>
      <c r="K94" s="148">
        <v>45931</v>
      </c>
      <c r="L94" s="148">
        <v>45962</v>
      </c>
      <c r="M94" s="148">
        <v>45992</v>
      </c>
      <c r="N94" s="148">
        <v>46023</v>
      </c>
      <c r="O94" s="148">
        <v>46054</v>
      </c>
      <c r="P94" s="148">
        <v>46082</v>
      </c>
      <c r="Q94" s="150" t="s">
        <v>56</v>
      </c>
      <c r="T94" s="98"/>
      <c r="U94" s="45"/>
      <c r="V94" s="45"/>
    </row>
    <row r="95" spans="2:26" ht="15.5" hidden="1">
      <c r="B95" s="14"/>
      <c r="C95" s="298" t="s">
        <v>205</v>
      </c>
      <c r="D95" s="299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>
        <f>SUM(E95:P95)</f>
        <v>0</v>
      </c>
      <c r="R95" s="120"/>
      <c r="S95" s="125"/>
      <c r="T95" s="98"/>
      <c r="U95" s="45"/>
      <c r="V95" s="45"/>
    </row>
    <row r="96" spans="2:26" ht="12.75" hidden="1" customHeight="1">
      <c r="B96" s="14"/>
      <c r="F96" s="117"/>
      <c r="G96" s="117"/>
      <c r="H96" s="117"/>
      <c r="I96" s="123"/>
      <c r="J96" s="123"/>
      <c r="K96" s="123"/>
      <c r="L96" s="123"/>
      <c r="M96" s="120"/>
      <c r="N96" s="120"/>
      <c r="O96" s="120"/>
      <c r="P96" s="120"/>
      <c r="Q96" s="120"/>
      <c r="R96" s="120"/>
      <c r="S96" s="125"/>
      <c r="T96" s="98"/>
      <c r="U96" s="45"/>
      <c r="V96" s="45"/>
    </row>
    <row r="97" spans="2:22" ht="12.75" hidden="1" customHeight="1">
      <c r="B97" s="14"/>
      <c r="F97" s="117"/>
      <c r="G97" s="117"/>
      <c r="H97" s="117"/>
      <c r="I97" s="123"/>
      <c r="J97" s="123"/>
      <c r="K97" s="123"/>
      <c r="L97" s="123"/>
      <c r="M97" s="120"/>
      <c r="N97" s="120"/>
      <c r="O97" s="120"/>
      <c r="P97" s="120"/>
      <c r="Q97" s="120"/>
      <c r="R97" s="120"/>
      <c r="S97" s="125"/>
      <c r="T97" s="98"/>
      <c r="U97" s="45"/>
      <c r="V97" s="45"/>
    </row>
    <row r="98" spans="2:22" hidden="1">
      <c r="B98" s="14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9"/>
      <c r="T98" s="65"/>
      <c r="U98" s="45"/>
      <c r="V98" s="45"/>
    </row>
    <row r="99" spans="2:22" ht="15.5" hidden="1">
      <c r="B99" s="14"/>
      <c r="C99" s="147" t="s">
        <v>111</v>
      </c>
      <c r="D99" s="119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9"/>
      <c r="T99" s="65"/>
      <c r="U99" s="45"/>
      <c r="V99" s="45"/>
    </row>
    <row r="100" spans="2:22" ht="15.5" hidden="1">
      <c r="B100" s="14"/>
      <c r="C100" s="147" t="s">
        <v>112</v>
      </c>
      <c r="D100" s="119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9"/>
      <c r="T100" s="65"/>
      <c r="U100" s="45"/>
      <c r="V100" s="45"/>
    </row>
    <row r="101" spans="2:22" ht="15.5" hidden="1">
      <c r="B101" s="14"/>
      <c r="C101" s="147" t="s">
        <v>113</v>
      </c>
      <c r="D101" s="119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9"/>
      <c r="T101" s="65"/>
      <c r="U101" s="45"/>
      <c r="V101" s="45"/>
    </row>
    <row r="102" spans="2:22" ht="15.5" hidden="1">
      <c r="B102" s="14"/>
      <c r="C102" s="147" t="s">
        <v>114</v>
      </c>
      <c r="D102" s="119"/>
      <c r="E102" s="117"/>
      <c r="F102" s="117"/>
      <c r="G102" s="117"/>
      <c r="H102" s="117"/>
      <c r="I102" s="117"/>
      <c r="J102" s="140"/>
      <c r="K102" s="117"/>
      <c r="L102" s="117"/>
      <c r="M102" s="117"/>
      <c r="N102" s="117"/>
      <c r="O102" s="117"/>
      <c r="P102" s="117"/>
      <c r="Q102" s="117"/>
      <c r="R102" s="117"/>
      <c r="S102" s="119"/>
      <c r="T102" s="65"/>
      <c r="U102" s="45"/>
      <c r="V102" s="45"/>
    </row>
    <row r="103" spans="2:22" ht="15.5" hidden="1">
      <c r="B103" s="14"/>
      <c r="C103" s="147" t="s">
        <v>115</v>
      </c>
      <c r="D103" s="119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9"/>
      <c r="T103" s="65"/>
      <c r="U103" s="45"/>
      <c r="V103" s="45"/>
    </row>
    <row r="104" spans="2:22" ht="15.5" hidden="1">
      <c r="B104" s="14"/>
      <c r="C104" s="147" t="s">
        <v>116</v>
      </c>
      <c r="D104" s="119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9"/>
      <c r="T104" s="65"/>
      <c r="U104" s="45"/>
      <c r="V104" s="45"/>
    </row>
    <row r="105" spans="2:22" ht="15" hidden="1" thickBot="1">
      <c r="B105" s="14"/>
      <c r="C105" s="122"/>
      <c r="D105" s="119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9"/>
      <c r="T105" s="65"/>
      <c r="U105" s="45"/>
      <c r="V105" s="45"/>
    </row>
    <row r="106" spans="2:22" ht="17">
      <c r="B106" s="14"/>
      <c r="C106" s="40" t="s">
        <v>117</v>
      </c>
      <c r="D106" s="99"/>
      <c r="E106" s="100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9"/>
      <c r="T106" s="65"/>
      <c r="U106" s="45"/>
      <c r="V106" s="45"/>
    </row>
    <row r="107" spans="2:22" ht="15.5">
      <c r="B107" s="14"/>
      <c r="C107" s="41" t="s">
        <v>118</v>
      </c>
      <c r="D107" s="101" t="s">
        <v>4</v>
      </c>
      <c r="E107" s="102">
        <f t="shared" ref="E107:E123" si="29">SUMIF($D$36:$D$88,D107,$Q$36:$Q$90)</f>
        <v>18259.745263157893</v>
      </c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9"/>
      <c r="T107" s="65"/>
      <c r="U107" s="45"/>
      <c r="V107" s="45"/>
    </row>
    <row r="108" spans="2:22" ht="15.5" hidden="1">
      <c r="B108" s="14"/>
      <c r="C108" s="41" t="s">
        <v>119</v>
      </c>
      <c r="D108" s="101" t="s">
        <v>8</v>
      </c>
      <c r="E108" s="102">
        <f t="shared" si="29"/>
        <v>0</v>
      </c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9"/>
      <c r="T108" s="65"/>
      <c r="U108" s="45"/>
      <c r="V108" s="45"/>
    </row>
    <row r="109" spans="2:22" ht="15.5">
      <c r="B109" s="14"/>
      <c r="C109" s="41" t="s">
        <v>120</v>
      </c>
      <c r="D109" s="101" t="s">
        <v>7</v>
      </c>
      <c r="E109" s="102">
        <f t="shared" si="29"/>
        <v>31825.003333333334</v>
      </c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9"/>
      <c r="T109" s="65"/>
      <c r="U109" s="45"/>
      <c r="V109" s="45"/>
    </row>
    <row r="110" spans="2:22" ht="15.5" hidden="1">
      <c r="B110" s="14"/>
      <c r="C110" s="41" t="s">
        <v>121</v>
      </c>
      <c r="D110" s="101" t="s">
        <v>87</v>
      </c>
      <c r="E110" s="102">
        <f t="shared" si="29"/>
        <v>0</v>
      </c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9"/>
      <c r="T110" s="65"/>
      <c r="U110" s="45"/>
      <c r="V110" s="45"/>
    </row>
    <row r="111" spans="2:22" ht="15.5" hidden="1">
      <c r="B111" s="14"/>
      <c r="C111" s="41" t="s">
        <v>122</v>
      </c>
      <c r="D111" s="101" t="s">
        <v>90</v>
      </c>
      <c r="E111" s="102">
        <f t="shared" si="29"/>
        <v>0</v>
      </c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9"/>
      <c r="T111" s="65"/>
      <c r="U111" s="45"/>
      <c r="V111" s="45"/>
    </row>
    <row r="112" spans="2:22" ht="15.5" hidden="1">
      <c r="B112" s="14"/>
      <c r="C112" s="41" t="s">
        <v>123</v>
      </c>
      <c r="D112" s="101" t="s">
        <v>124</v>
      </c>
      <c r="E112" s="102">
        <f t="shared" si="29"/>
        <v>0</v>
      </c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9"/>
      <c r="T112" s="65"/>
      <c r="U112" s="45"/>
      <c r="V112" s="45"/>
    </row>
    <row r="113" spans="2:22" ht="15.5" hidden="1">
      <c r="B113" s="14"/>
      <c r="C113" s="41" t="s">
        <v>125</v>
      </c>
      <c r="D113" s="101" t="s">
        <v>126</v>
      </c>
      <c r="E113" s="102">
        <f t="shared" si="29"/>
        <v>0</v>
      </c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9"/>
      <c r="T113" s="65"/>
      <c r="U113" s="45"/>
      <c r="V113" s="45"/>
    </row>
    <row r="114" spans="2:22" ht="15.5" hidden="1">
      <c r="B114" s="14"/>
      <c r="C114" s="41" t="s">
        <v>127</v>
      </c>
      <c r="D114" s="101" t="s">
        <v>97</v>
      </c>
      <c r="E114" s="102">
        <f t="shared" si="29"/>
        <v>0</v>
      </c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9"/>
      <c r="T114" s="65"/>
      <c r="U114" s="45"/>
      <c r="V114" s="45"/>
    </row>
    <row r="115" spans="2:22" ht="15.5" hidden="1">
      <c r="B115" s="14"/>
      <c r="C115" s="41" t="s">
        <v>128</v>
      </c>
      <c r="D115" s="101" t="s">
        <v>102</v>
      </c>
      <c r="E115" s="103">
        <f t="shared" si="29"/>
        <v>0</v>
      </c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9"/>
      <c r="T115" s="65"/>
      <c r="U115" s="45"/>
      <c r="V115" s="45"/>
    </row>
    <row r="116" spans="2:22" ht="16" hidden="1" thickBot="1">
      <c r="B116" s="14"/>
      <c r="C116" s="43" t="s">
        <v>129</v>
      </c>
      <c r="D116" s="105" t="s">
        <v>106</v>
      </c>
      <c r="E116" s="106">
        <f t="shared" si="29"/>
        <v>0</v>
      </c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65"/>
      <c r="U116" s="45"/>
      <c r="V116" s="45"/>
    </row>
    <row r="117" spans="2:22" ht="15.5" hidden="1">
      <c r="B117" s="14"/>
      <c r="C117" s="274" t="s">
        <v>130</v>
      </c>
      <c r="D117" s="275" t="s">
        <v>131</v>
      </c>
      <c r="E117" s="276">
        <f t="shared" si="29"/>
        <v>0</v>
      </c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65"/>
      <c r="U117" s="45"/>
      <c r="V117" s="45"/>
    </row>
    <row r="118" spans="2:22" ht="15.5" hidden="1">
      <c r="B118" s="14"/>
      <c r="C118" s="42" t="s">
        <v>132</v>
      </c>
      <c r="D118" s="104" t="s">
        <v>133</v>
      </c>
      <c r="E118" s="103">
        <f t="shared" si="29"/>
        <v>0</v>
      </c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65"/>
      <c r="U118" s="45"/>
      <c r="V118" s="45"/>
    </row>
    <row r="119" spans="2:22" ht="15.5" hidden="1">
      <c r="B119" s="14"/>
      <c r="C119" s="42" t="s">
        <v>134</v>
      </c>
      <c r="D119" s="104" t="s">
        <v>135</v>
      </c>
      <c r="E119" s="103">
        <f t="shared" si="29"/>
        <v>0</v>
      </c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65"/>
      <c r="U119" s="45"/>
      <c r="V119" s="45"/>
    </row>
    <row r="120" spans="2:22" ht="15.5" hidden="1">
      <c r="B120" s="14"/>
      <c r="C120" s="42" t="s">
        <v>136</v>
      </c>
      <c r="D120" s="104" t="s">
        <v>6</v>
      </c>
      <c r="E120" s="103">
        <f t="shared" si="29"/>
        <v>0</v>
      </c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65"/>
      <c r="U120" s="45"/>
      <c r="V120" s="45"/>
    </row>
    <row r="121" spans="2:22" ht="15.5" hidden="1">
      <c r="B121" s="14"/>
      <c r="C121" s="42" t="s">
        <v>137</v>
      </c>
      <c r="D121" s="104" t="s">
        <v>9</v>
      </c>
      <c r="E121" s="103">
        <f t="shared" si="29"/>
        <v>0</v>
      </c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65"/>
      <c r="U121" s="45"/>
      <c r="V121" s="45"/>
    </row>
    <row r="122" spans="2:22" ht="15.5" hidden="1">
      <c r="B122" s="14"/>
      <c r="C122" s="42" t="s">
        <v>138</v>
      </c>
      <c r="D122" s="104" t="s">
        <v>139</v>
      </c>
      <c r="E122" s="103">
        <f t="shared" si="29"/>
        <v>0</v>
      </c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65"/>
      <c r="U122" s="45"/>
      <c r="V122" s="45"/>
    </row>
    <row r="123" spans="2:22" ht="16" hidden="1" thickBot="1">
      <c r="B123" s="14"/>
      <c r="C123" s="43" t="s">
        <v>140</v>
      </c>
      <c r="D123" s="105" t="s">
        <v>5</v>
      </c>
      <c r="E123" s="106">
        <f t="shared" si="29"/>
        <v>0</v>
      </c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65"/>
      <c r="U123" s="45"/>
      <c r="V123" s="45"/>
    </row>
    <row r="124" spans="2:22">
      <c r="B124" s="14"/>
      <c r="C124" s="122"/>
      <c r="D124" s="264" t="s">
        <v>141</v>
      </c>
      <c r="E124" s="265">
        <f>SUM(E107:E123)</f>
        <v>50084.748596491227</v>
      </c>
      <c r="F124" s="266" t="s">
        <v>463</v>
      </c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65"/>
      <c r="U124" s="45"/>
      <c r="V124" s="45"/>
    </row>
    <row r="125" spans="2:22" ht="15" thickBot="1">
      <c r="B125" s="22"/>
      <c r="C125" s="23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8"/>
      <c r="U125" s="45"/>
      <c r="V125" s="45"/>
    </row>
    <row r="126" spans="2:22">
      <c r="D126" s="30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2:22">
      <c r="D127" s="30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2:22" hidden="1"/>
    <row r="129" spans="1:19" ht="15" hidden="1" thickBot="1">
      <c r="D129" s="6"/>
    </row>
    <row r="130" spans="1:19" hidden="1">
      <c r="B130" s="9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3"/>
    </row>
    <row r="131" spans="1:19" ht="18.5" hidden="1">
      <c r="B131" s="14"/>
      <c r="C131" s="8" t="s">
        <v>142</v>
      </c>
      <c r="D131" s="33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21"/>
      <c r="S131" s="15"/>
    </row>
    <row r="132" spans="1:19" ht="18.5" hidden="1">
      <c r="B132" s="14"/>
      <c r="C132" s="8"/>
      <c r="D132" s="296" t="s">
        <v>55</v>
      </c>
      <c r="E132" s="27">
        <v>44287</v>
      </c>
      <c r="F132" s="27">
        <v>44317</v>
      </c>
      <c r="G132" s="27">
        <v>44348</v>
      </c>
      <c r="H132" s="27">
        <v>44378</v>
      </c>
      <c r="I132" s="27">
        <v>44409</v>
      </c>
      <c r="J132" s="27">
        <v>44440</v>
      </c>
      <c r="K132" s="27">
        <v>44470</v>
      </c>
      <c r="L132" s="27">
        <v>44501</v>
      </c>
      <c r="M132" s="27">
        <v>44531</v>
      </c>
      <c r="N132" s="27">
        <v>44562</v>
      </c>
      <c r="O132" s="27">
        <v>44593</v>
      </c>
      <c r="P132" s="27">
        <v>44621</v>
      </c>
      <c r="Q132" s="27"/>
      <c r="R132" s="17" t="s">
        <v>58</v>
      </c>
      <c r="S132" s="15"/>
    </row>
    <row r="133" spans="1:19" ht="15.5" hidden="1">
      <c r="B133" s="14"/>
      <c r="D133" s="297"/>
      <c r="E133" s="27" t="s">
        <v>59</v>
      </c>
      <c r="F133" s="27" t="s">
        <v>59</v>
      </c>
      <c r="G133" s="27" t="s">
        <v>143</v>
      </c>
      <c r="H133" s="27" t="s">
        <v>59</v>
      </c>
      <c r="I133" s="27" t="s">
        <v>59</v>
      </c>
      <c r="J133" s="27" t="s">
        <v>59</v>
      </c>
      <c r="K133" s="27" t="s">
        <v>59</v>
      </c>
      <c r="L133" s="27" t="s">
        <v>59</v>
      </c>
      <c r="M133" s="27" t="s">
        <v>59</v>
      </c>
      <c r="N133" s="27" t="s">
        <v>59</v>
      </c>
      <c r="O133" s="27" t="s">
        <v>59</v>
      </c>
      <c r="P133" s="27" t="s">
        <v>59</v>
      </c>
      <c r="Q133" s="27"/>
      <c r="R133" s="17"/>
      <c r="S133" s="15"/>
    </row>
    <row r="134" spans="1:19" ht="15.5" hidden="1">
      <c r="A134" t="s">
        <v>144</v>
      </c>
      <c r="B134" s="14"/>
      <c r="C134" s="18"/>
      <c r="D134" s="2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18"/>
      <c r="R134" s="32"/>
      <c r="S134" s="15"/>
    </row>
    <row r="135" spans="1:19" ht="15.5" hidden="1">
      <c r="B135" s="14"/>
      <c r="C135" s="2"/>
      <c r="D135" s="2"/>
      <c r="E135" s="28"/>
      <c r="F135" s="28"/>
      <c r="G135" s="28"/>
      <c r="H135" s="28"/>
      <c r="I135" s="28"/>
      <c r="J135" s="34"/>
      <c r="K135" s="28"/>
      <c r="L135" s="28"/>
      <c r="M135" s="28"/>
      <c r="N135" s="28"/>
      <c r="O135" s="28"/>
      <c r="P135" s="28"/>
      <c r="Q135" s="18"/>
      <c r="R135" s="32"/>
      <c r="S135" s="15"/>
    </row>
    <row r="136" spans="1:19" ht="15.5" hidden="1">
      <c r="B136" s="14"/>
      <c r="C136" s="2"/>
      <c r="D136" s="2"/>
      <c r="E136" s="28"/>
      <c r="F136" s="28"/>
      <c r="G136" s="28"/>
      <c r="H136" s="28"/>
      <c r="I136" s="28"/>
      <c r="J136" s="34"/>
      <c r="K136" s="28"/>
      <c r="L136" s="28"/>
      <c r="M136" s="28"/>
      <c r="N136" s="28"/>
      <c r="O136" s="28"/>
      <c r="P136" s="28"/>
      <c r="Q136" s="18"/>
      <c r="R136" s="32"/>
      <c r="S136" s="15"/>
    </row>
    <row r="137" spans="1:19" ht="15.5" hidden="1">
      <c r="B137" s="14"/>
      <c r="C137" s="2"/>
      <c r="D137" s="2"/>
      <c r="E137" s="28"/>
      <c r="F137" s="28"/>
      <c r="G137" s="28"/>
      <c r="H137" s="28"/>
      <c r="I137" s="28"/>
      <c r="J137" s="29"/>
      <c r="K137" s="28"/>
      <c r="L137" s="28"/>
      <c r="M137" s="28"/>
      <c r="N137" s="28"/>
      <c r="O137" s="28"/>
      <c r="P137" s="28"/>
      <c r="Q137" s="18"/>
      <c r="R137" s="32"/>
      <c r="S137" s="15"/>
    </row>
    <row r="138" spans="1:19" ht="15.5" hidden="1">
      <c r="B138" s="14"/>
      <c r="C138" s="2"/>
      <c r="D138" s="2"/>
      <c r="E138" s="18"/>
      <c r="F138" s="18"/>
      <c r="G138" s="18"/>
      <c r="H138" s="18"/>
      <c r="I138" s="18"/>
      <c r="J138" s="18"/>
      <c r="K138" s="28"/>
      <c r="L138" s="18"/>
      <c r="M138" s="18"/>
      <c r="N138" s="18"/>
      <c r="O138" s="18"/>
      <c r="P138" s="18"/>
      <c r="Q138" s="18"/>
      <c r="R138" s="32"/>
      <c r="S138" s="15"/>
    </row>
    <row r="139" spans="1:19" ht="15.5" hidden="1">
      <c r="B139" s="14"/>
      <c r="C139" s="2"/>
      <c r="D139" s="2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5"/>
    </row>
    <row r="140" spans="1:19" ht="18.5" hidden="1">
      <c r="B140" s="14"/>
      <c r="C140" s="35" t="s">
        <v>58</v>
      </c>
      <c r="D140" s="3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15"/>
    </row>
    <row r="141" spans="1:19" ht="15" hidden="1" thickBot="1"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/>
    </row>
    <row r="142" spans="1:19" hidden="1"/>
  </sheetData>
  <sheetProtection algorithmName="SHA-512" hashValue="gm6rzGBzr8rlwIebp0pk6KiBj6PJ6ZKZSvI5dgc7JFsG6fuIQbKUypA9hT9xaBS+iogKgKQcXLHBrs16kzZQsA==" saltValue="hC8lkJtV+JkHGACyiDNS6A==" spinCount="100000" sheet="1" objects="1" scenarios="1"/>
  <mergeCells count="4">
    <mergeCell ref="D34:D35"/>
    <mergeCell ref="P92:R93"/>
    <mergeCell ref="D132:D133"/>
    <mergeCell ref="C95:D95"/>
  </mergeCells>
  <phoneticPr fontId="94" type="noConversion"/>
  <conditionalFormatting sqref="D13:P14 Q13:V27 D15:H15 J15:P15 D16:P17 D18:G20 I18:J20 L18:P20 D21:P27 D28:V50 D51:U58 V51:V60 E59:U59 D60:I60 K60:U60 D61:V92 F93:V93 T94:V94 E95:V95 F96:V124 D99:E124 D125:V125">
    <cfRule type="cellIs" dxfId="31" priority="10" operator="equal">
      <formula>0</formula>
    </cfRule>
  </conditionalFormatting>
  <conditionalFormatting sqref="D14:P14 Q14:S27 D15:H15 J15:P15 D16:P17 D18:G20 I18:J20 L18:P20 D21:P27 D28:R28 D29:S58 E59:S59 D60:I60 K60:S60 D61:S92 F93:S93 E95:S95 F96:S115 D99:E123">
    <cfRule type="cellIs" dxfId="30" priority="20" operator="lessThan">
      <formula>0</formula>
    </cfRule>
  </conditionalFormatting>
  <conditionalFormatting sqref="E94:Q94">
    <cfRule type="cellIs" dxfId="29" priority="5" operator="equal">
      <formula>0</formula>
    </cfRule>
    <cfRule type="cellIs" dxfId="28" priority="6" operator="lessThan">
      <formula>0</formula>
    </cfRule>
  </conditionalFormatting>
  <conditionalFormatting sqref="E52:R52">
    <cfRule type="cellIs" dxfId="27" priority="42" operator="lessThan">
      <formula>0</formula>
    </cfRule>
  </conditionalFormatting>
  <conditionalFormatting sqref="E91:S91">
    <cfRule type="cellIs" dxfId="26" priority="21" operator="notEqual">
      <formula>0</formula>
    </cfRule>
  </conditionalFormatting>
  <conditionalFormatting sqref="H18:H19">
    <cfRule type="cellIs" dxfId="25" priority="3" operator="equal">
      <formula>0</formula>
    </cfRule>
    <cfRule type="cellIs" dxfId="24" priority="4" operator="lessThan">
      <formula>0</formula>
    </cfRule>
  </conditionalFormatting>
  <conditionalFormatting sqref="K18:K19">
    <cfRule type="cellIs" dxfId="23" priority="1" operator="equal">
      <formula>0</formula>
    </cfRule>
    <cfRule type="cellIs" dxfId="22" priority="2" operator="lessThan">
      <formula>0</formula>
    </cfRule>
  </conditionalFormatting>
  <conditionalFormatting sqref="S28">
    <cfRule type="cellIs" dxfId="21" priority="18" operator="equal">
      <formula>0</formula>
    </cfRule>
    <cfRule type="expression" dxfId="20" priority="19">
      <formula>0</formula>
    </cfRule>
  </conditionalFormatting>
  <conditionalFormatting sqref="S92">
    <cfRule type="containsText" dxfId="19" priority="34" operator="containsText" text="False">
      <formula>NOT(ISERROR(SEARCH("False",S92)))</formula>
    </cfRule>
  </conditionalFormatting>
  <conditionalFormatting sqref="U91 W91:Y91">
    <cfRule type="cellIs" dxfId="18" priority="24" operator="equal">
      <formula>0</formula>
    </cfRule>
  </conditionalFormatting>
  <conditionalFormatting sqref="U7:X9 AH10:AK29 U30:X31 V32:Y48 W51:Y52 V51:V71 X53:Y71 V61:Y90 W91:Y91 V92:Y125 U126:X126">
    <cfRule type="expression" dxfId="17" priority="51">
      <formula>0</formula>
    </cfRule>
  </conditionalFormatting>
  <conditionalFormatting sqref="U35:X48 W51:X51 U51:V71 X53:Y71 U72:X72 V74:V78 V83:V88 U87:Y87">
    <cfRule type="cellIs" dxfId="16" priority="7" operator="equal">
      <formula>0</formula>
    </cfRule>
  </conditionalFormatting>
  <conditionalFormatting sqref="V61:V71 W34:X35 X53:X71 W51:X52">
    <cfRule type="colorScale" priority="50">
      <colorScale>
        <cfvo type="num" val="&quot;&lt;0&quot;"/>
        <cfvo type="num" val="0"/>
        <color theme="1"/>
        <color theme="0"/>
      </colorScale>
    </cfRule>
  </conditionalFormatting>
  <conditionalFormatting sqref="W51:W52 V61:V71 W87">
    <cfRule type="cellIs" dxfId="15" priority="46" operator="between">
      <formula>0.09999999999</formula>
      <formula>-1</formula>
    </cfRule>
  </conditionalFormatting>
  <conditionalFormatting sqref="W91">
    <cfRule type="cellIs" dxfId="14" priority="22" operator="between">
      <formula>0.09999999999</formula>
      <formula>-1</formula>
    </cfRule>
  </conditionalFormatting>
  <conditionalFormatting sqref="W36:X48 W84:X87 W72:X82">
    <cfRule type="colorScale" priority="8">
      <colorScale>
        <cfvo type="num" val="&quot;&lt;0&quot;"/>
        <cfvo type="num" val="0"/>
        <color theme="1"/>
        <color theme="0"/>
      </colorScale>
    </cfRule>
  </conditionalFormatting>
  <conditionalFormatting sqref="W51:X52 X53:X71 V61:V71 W87:X87">
    <cfRule type="cellIs" dxfId="13" priority="47" operator="between">
      <formula>0.00999999999</formula>
      <formula>0</formula>
    </cfRule>
  </conditionalFormatting>
  <conditionalFormatting sqref="W91:X91">
    <cfRule type="cellIs" dxfId="12" priority="23" operator="between">
      <formula>0.00999999999</formula>
      <formula>0</formula>
    </cfRule>
    <cfRule type="colorScale" priority="25">
      <colorScale>
        <cfvo type="num" val="&quot;&lt;0&quot;"/>
        <cfvo type="num" val="0"/>
        <color theme="1"/>
        <color theme="0"/>
      </colorScale>
    </cfRule>
  </conditionalFormatting>
  <conditionalFormatting sqref="W52:Y52">
    <cfRule type="cellIs" dxfId="11" priority="49" operator="equal">
      <formula>0</formula>
    </cfRule>
  </conditionalFormatting>
  <conditionalFormatting sqref="AH49:AK50">
    <cfRule type="expression" dxfId="10" priority="12">
      <formula>0</formula>
    </cfRule>
  </conditionalFormatting>
  <hyperlinks>
    <hyperlink ref="C61" r:id="rId1" display="Teaches' Pension Employer Contribution Grant" xr:uid="{4CCB3455-5CF0-4E91-B1C6-690E016E4612}"/>
    <hyperlink ref="C62" r:id="rId2" xr:uid="{721427D9-F38B-4CBC-A1E4-C10959FAB220}"/>
    <hyperlink ref="C73" r:id="rId3" xr:uid="{24133DCE-B348-4591-B4A2-9B06C503DCAB}"/>
    <hyperlink ref="C79" r:id="rId4" xr:uid="{E46CAF17-B883-4F0A-8E13-0D40CDDE1615}"/>
    <hyperlink ref="C83" r:id="rId5" xr:uid="{ABE68501-6044-4164-B8E4-C545110D2843}"/>
    <hyperlink ref="C72" r:id="rId6" xr:uid="{B3BB876E-9F06-43E8-86CA-235A3DAD578C}"/>
    <hyperlink ref="C80" r:id="rId7" xr:uid="{1CDB262C-D963-4DCD-B591-20C568CA94E2}"/>
    <hyperlink ref="C84" r:id="rId8" xr:uid="{5A39BFDD-5FD1-4687-8FD2-7CB70797FE3D}"/>
    <hyperlink ref="C85" r:id="rId9" xr:uid="{4B4364C1-042C-4AED-ADCE-691973385024}"/>
    <hyperlink ref="C78" r:id="rId10" xr:uid="{35F6E6AD-1429-41CC-B5FB-98C1DE7A5573}"/>
    <hyperlink ref="C63" r:id="rId11" xr:uid="{4D74BE08-740B-4923-BCCE-895B32C40E46}"/>
    <hyperlink ref="C64" r:id="rId12" display="Teaches' Pension Employer Contribution Grant" xr:uid="{53B3AB0C-FB81-403F-8648-B6B6DA2C97D3}"/>
    <hyperlink ref="C65" r:id="rId13" display="Teachers' pay additional grant" xr:uid="{208A51AC-FDDC-49C2-8EC3-DF5D3B0195E0}"/>
    <hyperlink ref="C70" r:id="rId14" xr:uid="{84C0DDB8-6ECA-40C0-B628-D801CAC45AAD}"/>
    <hyperlink ref="C71" r:id="rId15" xr:uid="{83E44DBC-C093-4358-9253-CA2B91C480C9}"/>
    <hyperlink ref="C86" r:id="rId16" xr:uid="{326F3B25-83F8-43DF-96EB-28A8B34641DC}"/>
    <hyperlink ref="C67" r:id="rId17" xr:uid="{D0FEF80D-723C-471B-851B-FBDD66158299}"/>
  </hyperlinks>
  <pageMargins left="0.25" right="0.25" top="0.75" bottom="0.75" header="0.3" footer="0.3"/>
  <pageSetup paperSize="9" scale="42" orientation="landscape" r:id="rId18"/>
  <headerFooter>
    <oddFooter>&amp;C_x000D_&amp;1#&amp;"Calibri"&amp;10&amp;K000000 OFFICIAL</oddFooter>
  </headerFooter>
  <ignoredErrors>
    <ignoredError sqref="G37" formula="1"/>
  </ignoredErrors>
  <drawing r:id="rId1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EC2428-B561-492B-A19F-BD17C6CF575E}">
          <x14:formula1>
            <xm:f>Lookup!$A$2:$A$256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FC59-A7D2-4F54-8D8D-8CE8D025D01A}">
  <sheetPr codeName="Sheet7"/>
  <dimension ref="A1:AB268"/>
  <sheetViews>
    <sheetView zoomScale="80" zoomScaleNormal="80" workbookViewId="0">
      <selection activeCell="F7" sqref="F7:F263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4" max="9" width="14.7265625" customWidth="1"/>
    <col min="10" max="10" width="19.453125" bestFit="1" customWidth="1"/>
    <col min="11" max="16" width="14.7265625" customWidth="1"/>
    <col min="17" max="17" width="16.26953125" bestFit="1" customWidth="1"/>
    <col min="18" max="18" width="3.26953125" bestFit="1" customWidth="1"/>
    <col min="19" max="19" width="14.7265625" customWidth="1"/>
    <col min="20" max="20" width="16.26953125" bestFit="1" customWidth="1"/>
    <col min="21" max="27" width="14.7265625" hidden="1" customWidth="1"/>
    <col min="28" max="28" width="14.7265625" customWidth="1"/>
  </cols>
  <sheetData>
    <row r="1" spans="1:28">
      <c r="A1" s="1" t="s">
        <v>461</v>
      </c>
      <c r="B1" s="1"/>
    </row>
    <row r="2" spans="1:28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</row>
    <row r="3" spans="1:28">
      <c r="D3" s="46" t="s">
        <v>154</v>
      </c>
      <c r="E3" s="2" t="s">
        <v>7</v>
      </c>
      <c r="F3" s="2" t="s">
        <v>7</v>
      </c>
      <c r="G3" s="2" t="s">
        <v>7</v>
      </c>
      <c r="H3" s="2" t="s">
        <v>7</v>
      </c>
      <c r="I3" s="2" t="s">
        <v>7</v>
      </c>
      <c r="J3" s="2" t="s">
        <v>7</v>
      </c>
      <c r="K3" s="2" t="s">
        <v>7</v>
      </c>
      <c r="L3" s="2" t="s">
        <v>4</v>
      </c>
      <c r="M3" s="2" t="s">
        <v>4</v>
      </c>
      <c r="N3" s="2" t="s">
        <v>4</v>
      </c>
      <c r="O3" s="2" t="s">
        <v>4</v>
      </c>
      <c r="P3" s="2" t="s">
        <v>4</v>
      </c>
      <c r="Q3" s="2"/>
    </row>
    <row r="4" spans="1:28">
      <c r="D4" s="46" t="s">
        <v>155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8" ht="15" thickBot="1"/>
    <row r="6" spans="1:28" ht="42.75" customHeight="1" thickBot="1">
      <c r="A6" s="151" t="s">
        <v>1</v>
      </c>
      <c r="B6" s="152" t="s">
        <v>2</v>
      </c>
      <c r="C6" s="154" t="s">
        <v>3</v>
      </c>
      <c r="D6" s="169"/>
      <c r="E6" s="151" t="s">
        <v>156</v>
      </c>
      <c r="F6" s="152" t="s">
        <v>157</v>
      </c>
      <c r="G6" s="152" t="s">
        <v>158</v>
      </c>
      <c r="H6" s="153" t="s">
        <v>159</v>
      </c>
      <c r="I6" s="153" t="s">
        <v>161</v>
      </c>
      <c r="J6" s="153" t="s">
        <v>160</v>
      </c>
      <c r="K6" s="153" t="s">
        <v>162</v>
      </c>
      <c r="L6" s="153" t="s">
        <v>202</v>
      </c>
      <c r="M6" s="153" t="s">
        <v>456</v>
      </c>
      <c r="N6" s="153" t="s">
        <v>203</v>
      </c>
      <c r="O6" s="153" t="s">
        <v>200</v>
      </c>
      <c r="P6" s="165" t="s">
        <v>201</v>
      </c>
      <c r="Q6" s="154" t="s">
        <v>41</v>
      </c>
      <c r="S6" s="155" t="s">
        <v>4</v>
      </c>
      <c r="T6" s="156" t="s">
        <v>7</v>
      </c>
      <c r="U6" s="156" t="s">
        <v>87</v>
      </c>
      <c r="V6" s="156" t="s">
        <v>90</v>
      </c>
      <c r="W6" s="156" t="s">
        <v>124</v>
      </c>
      <c r="X6" s="156" t="s">
        <v>126</v>
      </c>
      <c r="Y6" s="156" t="s">
        <v>97</v>
      </c>
      <c r="Z6" s="156" t="s">
        <v>102</v>
      </c>
      <c r="AA6" s="157" t="s">
        <v>106</v>
      </c>
      <c r="AB6" s="158" t="s">
        <v>163</v>
      </c>
    </row>
    <row r="7" spans="1:28">
      <c r="A7" s="167">
        <v>3318</v>
      </c>
      <c r="B7" s="159">
        <v>147669</v>
      </c>
      <c r="C7" s="159" t="s">
        <v>212</v>
      </c>
      <c r="D7" s="170"/>
      <c r="E7" s="171">
        <v>0</v>
      </c>
      <c r="F7" s="171">
        <v>0</v>
      </c>
      <c r="G7" s="171"/>
      <c r="H7" s="171">
        <v>47294.380000000005</v>
      </c>
      <c r="I7" s="171">
        <v>945.95333333333133</v>
      </c>
      <c r="J7" s="171">
        <v>61089.01</v>
      </c>
      <c r="K7" s="171"/>
      <c r="L7" s="171">
        <v>0</v>
      </c>
      <c r="M7" s="171">
        <v>0</v>
      </c>
      <c r="N7" s="171">
        <v>0</v>
      </c>
      <c r="O7" s="164">
        <v>0</v>
      </c>
      <c r="P7" s="164">
        <v>0</v>
      </c>
      <c r="Q7" s="172">
        <f>SUM(E7:P7)</f>
        <v>109329.34333333334</v>
      </c>
      <c r="S7" s="30">
        <f t="shared" ref="S7:AA7" si="0">SUMIF($E$3:$P$3,S$6,$E7:$P7)</f>
        <v>0</v>
      </c>
      <c r="T7" s="30">
        <f t="shared" si="0"/>
        <v>109329.34333333334</v>
      </c>
      <c r="U7" s="30">
        <f t="shared" si="0"/>
        <v>0</v>
      </c>
      <c r="V7" s="30">
        <f t="shared" si="0"/>
        <v>0</v>
      </c>
      <c r="W7" s="30">
        <f t="shared" si="0"/>
        <v>0</v>
      </c>
      <c r="X7" s="30">
        <f t="shared" si="0"/>
        <v>0</v>
      </c>
      <c r="Y7" s="30">
        <f t="shared" si="0"/>
        <v>0</v>
      </c>
      <c r="Z7" s="30">
        <f t="shared" si="0"/>
        <v>0</v>
      </c>
      <c r="AA7" s="30">
        <f t="shared" si="0"/>
        <v>0</v>
      </c>
      <c r="AB7" s="39">
        <f>SUM(S7:AA7)-Q7</f>
        <v>0</v>
      </c>
    </row>
    <row r="8" spans="1:28">
      <c r="A8" s="168">
        <v>2020</v>
      </c>
      <c r="B8" s="2">
        <v>139443</v>
      </c>
      <c r="C8" s="2" t="s">
        <v>213</v>
      </c>
      <c r="E8" s="171">
        <v>0</v>
      </c>
      <c r="F8" s="171">
        <v>0</v>
      </c>
      <c r="G8" s="171"/>
      <c r="H8" s="171">
        <v>101843.18666666668</v>
      </c>
      <c r="I8" s="171">
        <v>1473.3466666666636</v>
      </c>
      <c r="J8" s="171">
        <v>75708.126666666678</v>
      </c>
      <c r="K8" s="171"/>
      <c r="L8" s="171">
        <v>0</v>
      </c>
      <c r="M8" s="171">
        <v>0</v>
      </c>
      <c r="N8" s="171">
        <v>0</v>
      </c>
      <c r="O8" s="164">
        <v>0</v>
      </c>
      <c r="P8" s="164">
        <v>0</v>
      </c>
      <c r="Q8" s="172">
        <f t="shared" ref="Q8:Q73" si="1">SUM(E8:P8)</f>
        <v>179024.66000000003</v>
      </c>
      <c r="S8" s="30">
        <f t="shared" ref="S8:T27" si="2">SUMIF($E$3:$P$3,S$6,$E8:$P8)</f>
        <v>0</v>
      </c>
      <c r="T8" s="30">
        <f t="shared" si="2"/>
        <v>179024.66000000003</v>
      </c>
      <c r="U8" s="30">
        <f t="shared" ref="U8:AA17" si="3">SUMIF($E$3:$O$3,U$6,$E8:$O8)</f>
        <v>0</v>
      </c>
      <c r="V8" s="30">
        <f t="shared" si="3"/>
        <v>0</v>
      </c>
      <c r="W8" s="30">
        <f t="shared" si="3"/>
        <v>0</v>
      </c>
      <c r="X8" s="30">
        <f t="shared" si="3"/>
        <v>0</v>
      </c>
      <c r="Y8" s="30">
        <f t="shared" si="3"/>
        <v>0</v>
      </c>
      <c r="Z8" s="30">
        <f t="shared" si="3"/>
        <v>0</v>
      </c>
      <c r="AA8" s="30">
        <f t="shared" si="3"/>
        <v>0</v>
      </c>
      <c r="AB8" s="39">
        <f t="shared" ref="AB8:AB71" si="4">SUM(S8:AA8)-Q8</f>
        <v>0</v>
      </c>
    </row>
    <row r="9" spans="1:28">
      <c r="A9" s="168">
        <v>3433</v>
      </c>
      <c r="B9" s="2">
        <v>140889</v>
      </c>
      <c r="C9" s="2" t="s">
        <v>214</v>
      </c>
      <c r="E9" s="171">
        <v>0</v>
      </c>
      <c r="F9" s="171">
        <v>0</v>
      </c>
      <c r="G9" s="171"/>
      <c r="H9" s="171">
        <v>71046.493333333347</v>
      </c>
      <c r="I9" s="171">
        <v>1153.7166666666642</v>
      </c>
      <c r="J9" s="171">
        <v>70411.34</v>
      </c>
      <c r="K9" s="171"/>
      <c r="L9" s="171">
        <v>0</v>
      </c>
      <c r="M9" s="171">
        <v>0</v>
      </c>
      <c r="N9" s="171">
        <v>0</v>
      </c>
      <c r="O9" s="164">
        <v>0</v>
      </c>
      <c r="P9" s="164">
        <v>0</v>
      </c>
      <c r="Q9" s="172">
        <f t="shared" si="1"/>
        <v>142611.54999999999</v>
      </c>
      <c r="S9" s="30">
        <f t="shared" si="2"/>
        <v>0</v>
      </c>
      <c r="T9" s="30">
        <f t="shared" si="2"/>
        <v>142611.54999999999</v>
      </c>
      <c r="U9" s="30">
        <f t="shared" si="3"/>
        <v>0</v>
      </c>
      <c r="V9" s="30">
        <f t="shared" si="3"/>
        <v>0</v>
      </c>
      <c r="W9" s="30">
        <f t="shared" si="3"/>
        <v>0</v>
      </c>
      <c r="X9" s="30">
        <f t="shared" si="3"/>
        <v>0</v>
      </c>
      <c r="Y9" s="30">
        <f t="shared" si="3"/>
        <v>0</v>
      </c>
      <c r="Z9" s="30">
        <f t="shared" si="3"/>
        <v>0</v>
      </c>
      <c r="AA9" s="30">
        <f t="shared" si="3"/>
        <v>0</v>
      </c>
      <c r="AB9" s="39">
        <f t="shared" si="4"/>
        <v>0</v>
      </c>
    </row>
    <row r="10" spans="1:28">
      <c r="A10" s="168">
        <v>2144</v>
      </c>
      <c r="B10" s="2">
        <v>140656</v>
      </c>
      <c r="C10" s="2" t="s">
        <v>215</v>
      </c>
      <c r="E10" s="171">
        <v>0</v>
      </c>
      <c r="F10" s="171">
        <v>0</v>
      </c>
      <c r="G10" s="171"/>
      <c r="H10" s="171">
        <v>14851.083333333334</v>
      </c>
      <c r="I10" s="171">
        <v>300.91666666666652</v>
      </c>
      <c r="J10" s="171">
        <v>19943.669999999998</v>
      </c>
      <c r="K10" s="171"/>
      <c r="L10" s="171">
        <v>0</v>
      </c>
      <c r="M10" s="171">
        <v>0</v>
      </c>
      <c r="N10" s="171">
        <v>0</v>
      </c>
      <c r="O10" s="164">
        <v>0</v>
      </c>
      <c r="P10" s="164">
        <v>0</v>
      </c>
      <c r="Q10" s="172">
        <f t="shared" si="1"/>
        <v>35095.67</v>
      </c>
      <c r="S10" s="30">
        <f t="shared" si="2"/>
        <v>0</v>
      </c>
      <c r="T10" s="30">
        <f t="shared" si="2"/>
        <v>35095.67</v>
      </c>
      <c r="U10" s="30">
        <f t="shared" si="3"/>
        <v>0</v>
      </c>
      <c r="V10" s="30">
        <f t="shared" si="3"/>
        <v>0</v>
      </c>
      <c r="W10" s="30">
        <f t="shared" si="3"/>
        <v>0</v>
      </c>
      <c r="X10" s="30">
        <f t="shared" si="3"/>
        <v>0</v>
      </c>
      <c r="Y10" s="30">
        <f t="shared" si="3"/>
        <v>0</v>
      </c>
      <c r="Z10" s="30">
        <f t="shared" si="3"/>
        <v>0</v>
      </c>
      <c r="AA10" s="30">
        <f t="shared" si="3"/>
        <v>0</v>
      </c>
      <c r="AB10" s="39">
        <f t="shared" si="4"/>
        <v>0</v>
      </c>
    </row>
    <row r="11" spans="1:28">
      <c r="A11" s="168">
        <v>4804</v>
      </c>
      <c r="B11" s="2">
        <v>146124</v>
      </c>
      <c r="C11" s="2" t="s">
        <v>216</v>
      </c>
      <c r="E11" s="171">
        <v>0</v>
      </c>
      <c r="F11" s="171">
        <v>0</v>
      </c>
      <c r="G11" s="171"/>
      <c r="H11" s="171">
        <v>23692.386666666665</v>
      </c>
      <c r="I11" s="171">
        <v>443.73333333333244</v>
      </c>
      <c r="J11" s="171">
        <v>47528.666666666672</v>
      </c>
      <c r="K11" s="171"/>
      <c r="L11" s="171">
        <v>0</v>
      </c>
      <c r="M11" s="171">
        <v>0</v>
      </c>
      <c r="N11" s="171">
        <v>0</v>
      </c>
      <c r="O11" s="164">
        <v>0</v>
      </c>
      <c r="P11" s="164">
        <v>0</v>
      </c>
      <c r="Q11" s="172">
        <f t="shared" si="1"/>
        <v>71664.786666666667</v>
      </c>
      <c r="S11" s="30">
        <f t="shared" si="2"/>
        <v>0</v>
      </c>
      <c r="T11" s="30">
        <f t="shared" si="2"/>
        <v>71664.786666666667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  <c r="Z11" s="30">
        <f t="shared" si="3"/>
        <v>0</v>
      </c>
      <c r="AA11" s="30">
        <f t="shared" si="3"/>
        <v>0</v>
      </c>
      <c r="AB11" s="39">
        <f t="shared" si="4"/>
        <v>0</v>
      </c>
    </row>
    <row r="12" spans="1:28">
      <c r="A12" s="168">
        <v>4031</v>
      </c>
      <c r="B12" s="2">
        <v>145580</v>
      </c>
      <c r="C12" s="2" t="s">
        <v>217</v>
      </c>
      <c r="E12" s="171">
        <v>0</v>
      </c>
      <c r="F12" s="171">
        <v>0</v>
      </c>
      <c r="G12" s="171"/>
      <c r="H12" s="171">
        <v>21178.683333333331</v>
      </c>
      <c r="I12" s="171">
        <v>337.64999999999918</v>
      </c>
      <c r="J12" s="171">
        <v>46082.66333333333</v>
      </c>
      <c r="K12" s="171"/>
      <c r="L12" s="171">
        <v>0</v>
      </c>
      <c r="M12" s="171">
        <v>0</v>
      </c>
      <c r="N12" s="171">
        <v>0</v>
      </c>
      <c r="O12" s="164">
        <v>0</v>
      </c>
      <c r="P12" s="164">
        <v>0</v>
      </c>
      <c r="Q12" s="172">
        <f t="shared" si="1"/>
        <v>67598.996666666659</v>
      </c>
      <c r="S12" s="30">
        <f t="shared" si="2"/>
        <v>0</v>
      </c>
      <c r="T12" s="30">
        <f t="shared" si="2"/>
        <v>67598.996666666659</v>
      </c>
      <c r="U12" s="30">
        <f t="shared" si="3"/>
        <v>0</v>
      </c>
      <c r="V12" s="30">
        <f t="shared" si="3"/>
        <v>0</v>
      </c>
      <c r="W12" s="30">
        <f t="shared" si="3"/>
        <v>0</v>
      </c>
      <c r="X12" s="30">
        <f t="shared" si="3"/>
        <v>0</v>
      </c>
      <c r="Y12" s="30">
        <f t="shared" si="3"/>
        <v>0</v>
      </c>
      <c r="Z12" s="30">
        <f t="shared" si="3"/>
        <v>0</v>
      </c>
      <c r="AA12" s="30">
        <f t="shared" si="3"/>
        <v>0</v>
      </c>
      <c r="AB12" s="39">
        <f t="shared" si="4"/>
        <v>0</v>
      </c>
    </row>
    <row r="13" spans="1:28">
      <c r="A13" s="168">
        <v>4013</v>
      </c>
      <c r="B13" s="2">
        <v>140014</v>
      </c>
      <c r="C13" s="2" t="s">
        <v>218</v>
      </c>
      <c r="E13" s="171">
        <v>0</v>
      </c>
      <c r="F13" s="171">
        <v>0</v>
      </c>
      <c r="G13" s="171"/>
      <c r="H13" s="171">
        <v>65592.03333333334</v>
      </c>
      <c r="I13" s="171">
        <v>989.41433333333202</v>
      </c>
      <c r="J13" s="171">
        <v>62819.833333333328</v>
      </c>
      <c r="K13" s="171"/>
      <c r="L13" s="171">
        <v>0</v>
      </c>
      <c r="M13" s="171">
        <v>0</v>
      </c>
      <c r="N13" s="171">
        <v>94799.075000000012</v>
      </c>
      <c r="O13" s="164">
        <v>0</v>
      </c>
      <c r="P13" s="164">
        <v>0</v>
      </c>
      <c r="Q13" s="172">
        <f t="shared" si="1"/>
        <v>224200.35600000003</v>
      </c>
      <c r="S13" s="30">
        <f t="shared" si="2"/>
        <v>94799.075000000012</v>
      </c>
      <c r="T13" s="30">
        <f t="shared" si="2"/>
        <v>129401.281</v>
      </c>
      <c r="U13" s="30">
        <f t="shared" si="3"/>
        <v>0</v>
      </c>
      <c r="V13" s="30">
        <f t="shared" si="3"/>
        <v>0</v>
      </c>
      <c r="W13" s="30">
        <f t="shared" si="3"/>
        <v>0</v>
      </c>
      <c r="X13" s="30">
        <f t="shared" si="3"/>
        <v>0</v>
      </c>
      <c r="Y13" s="30">
        <f t="shared" si="3"/>
        <v>0</v>
      </c>
      <c r="Z13" s="30">
        <f t="shared" si="3"/>
        <v>0</v>
      </c>
      <c r="AA13" s="30">
        <f t="shared" si="3"/>
        <v>0</v>
      </c>
      <c r="AB13" s="39">
        <f t="shared" si="4"/>
        <v>0</v>
      </c>
    </row>
    <row r="14" spans="1:28">
      <c r="A14" s="168">
        <v>4001</v>
      </c>
      <c r="B14" s="2">
        <v>137578</v>
      </c>
      <c r="C14" s="2" t="s">
        <v>219</v>
      </c>
      <c r="E14" s="171">
        <v>0</v>
      </c>
      <c r="F14" s="171">
        <v>0</v>
      </c>
      <c r="G14" s="171"/>
      <c r="H14" s="171">
        <v>77170.48</v>
      </c>
      <c r="I14" s="171">
        <v>1423.1833333333311</v>
      </c>
      <c r="J14" s="171">
        <v>87005.67</v>
      </c>
      <c r="K14" s="171"/>
      <c r="L14" s="171">
        <v>0</v>
      </c>
      <c r="M14" s="171">
        <v>0</v>
      </c>
      <c r="N14" s="171">
        <v>0</v>
      </c>
      <c r="O14" s="164">
        <v>0</v>
      </c>
      <c r="P14" s="164">
        <v>0</v>
      </c>
      <c r="Q14" s="172">
        <f t="shared" si="1"/>
        <v>165599.33333333331</v>
      </c>
      <c r="S14" s="30">
        <f t="shared" si="2"/>
        <v>0</v>
      </c>
      <c r="T14" s="30">
        <f t="shared" si="2"/>
        <v>165599.33333333331</v>
      </c>
      <c r="U14" s="30">
        <f t="shared" si="3"/>
        <v>0</v>
      </c>
      <c r="V14" s="30">
        <f t="shared" si="3"/>
        <v>0</v>
      </c>
      <c r="W14" s="30">
        <f t="shared" si="3"/>
        <v>0</v>
      </c>
      <c r="X14" s="30">
        <f t="shared" si="3"/>
        <v>0</v>
      </c>
      <c r="Y14" s="30">
        <f t="shared" si="3"/>
        <v>0</v>
      </c>
      <c r="Z14" s="30">
        <f t="shared" si="3"/>
        <v>0</v>
      </c>
      <c r="AA14" s="30">
        <f t="shared" si="3"/>
        <v>0</v>
      </c>
      <c r="AB14" s="39">
        <f t="shared" si="4"/>
        <v>0</v>
      </c>
    </row>
    <row r="15" spans="1:28">
      <c r="A15" s="168">
        <v>6908</v>
      </c>
      <c r="B15" s="2">
        <v>135970</v>
      </c>
      <c r="C15" s="2" t="s">
        <v>220</v>
      </c>
      <c r="E15" s="171">
        <v>0</v>
      </c>
      <c r="F15" s="171">
        <v>0</v>
      </c>
      <c r="G15" s="171"/>
      <c r="H15" s="171">
        <v>30098.016666666663</v>
      </c>
      <c r="I15" s="171">
        <v>588.20999999999935</v>
      </c>
      <c r="J15" s="171">
        <v>38533.000000000007</v>
      </c>
      <c r="K15" s="171"/>
      <c r="L15" s="171">
        <v>20998.458333333336</v>
      </c>
      <c r="M15" s="171">
        <v>0</v>
      </c>
      <c r="N15" s="171">
        <v>47399.537500000006</v>
      </c>
      <c r="O15" s="164">
        <v>0</v>
      </c>
      <c r="P15" s="164">
        <v>0</v>
      </c>
      <c r="Q15" s="172">
        <f t="shared" si="1"/>
        <v>137617.2225</v>
      </c>
      <c r="S15" s="30">
        <f t="shared" si="2"/>
        <v>68397.995833333349</v>
      </c>
      <c r="T15" s="30">
        <f t="shared" si="2"/>
        <v>69219.226666666669</v>
      </c>
      <c r="U15" s="30">
        <f t="shared" si="3"/>
        <v>0</v>
      </c>
      <c r="V15" s="30">
        <f t="shared" si="3"/>
        <v>0</v>
      </c>
      <c r="W15" s="30">
        <f t="shared" si="3"/>
        <v>0</v>
      </c>
      <c r="X15" s="30">
        <f t="shared" si="3"/>
        <v>0</v>
      </c>
      <c r="Y15" s="30">
        <f t="shared" si="3"/>
        <v>0</v>
      </c>
      <c r="Z15" s="30">
        <f t="shared" si="3"/>
        <v>0</v>
      </c>
      <c r="AA15" s="30">
        <f t="shared" si="3"/>
        <v>0</v>
      </c>
      <c r="AB15" s="39">
        <f t="shared" si="4"/>
        <v>0</v>
      </c>
    </row>
    <row r="16" spans="1:28">
      <c r="A16" s="168">
        <v>2056</v>
      </c>
      <c r="B16" s="2">
        <v>138397</v>
      </c>
      <c r="C16" s="2" t="s">
        <v>221</v>
      </c>
      <c r="E16" s="171">
        <v>0</v>
      </c>
      <c r="F16" s="171">
        <v>0</v>
      </c>
      <c r="G16" s="171"/>
      <c r="H16" s="171">
        <v>32748.091666666667</v>
      </c>
      <c r="I16" s="171">
        <v>561.94999999999891</v>
      </c>
      <c r="J16" s="171">
        <v>33182.003333333327</v>
      </c>
      <c r="K16" s="171"/>
      <c r="L16" s="171">
        <v>0</v>
      </c>
      <c r="M16" s="171">
        <v>0</v>
      </c>
      <c r="N16" s="171">
        <v>0</v>
      </c>
      <c r="O16" s="164">
        <v>0</v>
      </c>
      <c r="P16" s="164">
        <v>0</v>
      </c>
      <c r="Q16" s="172">
        <f t="shared" si="1"/>
        <v>66492.044999999984</v>
      </c>
      <c r="S16" s="30">
        <f t="shared" si="2"/>
        <v>0</v>
      </c>
      <c r="T16" s="30">
        <f t="shared" si="2"/>
        <v>66492.044999999984</v>
      </c>
      <c r="U16" s="30">
        <f t="shared" si="3"/>
        <v>0</v>
      </c>
      <c r="V16" s="30">
        <f t="shared" si="3"/>
        <v>0</v>
      </c>
      <c r="W16" s="30">
        <f t="shared" si="3"/>
        <v>0</v>
      </c>
      <c r="X16" s="30">
        <f t="shared" si="3"/>
        <v>0</v>
      </c>
      <c r="Y16" s="30">
        <f t="shared" si="3"/>
        <v>0</v>
      </c>
      <c r="Z16" s="30">
        <f t="shared" si="3"/>
        <v>0</v>
      </c>
      <c r="AA16" s="30">
        <f t="shared" si="3"/>
        <v>0</v>
      </c>
      <c r="AB16" s="39">
        <f t="shared" si="4"/>
        <v>0</v>
      </c>
    </row>
    <row r="17" spans="1:28">
      <c r="A17" s="168">
        <v>4019</v>
      </c>
      <c r="B17" s="2">
        <v>141752</v>
      </c>
      <c r="C17" s="2" t="s">
        <v>222</v>
      </c>
      <c r="E17" s="171">
        <v>0</v>
      </c>
      <c r="F17" s="171">
        <v>0</v>
      </c>
      <c r="G17" s="171"/>
      <c r="H17" s="171">
        <v>41492.936666666668</v>
      </c>
      <c r="I17" s="171">
        <v>638.62333333333254</v>
      </c>
      <c r="J17" s="171">
        <v>63497.66666666665</v>
      </c>
      <c r="K17" s="171"/>
      <c r="L17" s="171">
        <v>56695.837500000001</v>
      </c>
      <c r="M17" s="171">
        <v>0</v>
      </c>
      <c r="N17" s="171">
        <v>37919.630000000005</v>
      </c>
      <c r="O17" s="164">
        <v>0</v>
      </c>
      <c r="P17" s="164">
        <v>0</v>
      </c>
      <c r="Q17" s="172">
        <f t="shared" si="1"/>
        <v>200244.69416666665</v>
      </c>
      <c r="S17" s="30">
        <f t="shared" si="2"/>
        <v>94615.467499999999</v>
      </c>
      <c r="T17" s="30">
        <f t="shared" si="2"/>
        <v>105629.22666666665</v>
      </c>
      <c r="U17" s="30">
        <f t="shared" si="3"/>
        <v>0</v>
      </c>
      <c r="V17" s="30">
        <f t="shared" si="3"/>
        <v>0</v>
      </c>
      <c r="W17" s="30">
        <f t="shared" si="3"/>
        <v>0</v>
      </c>
      <c r="X17" s="30">
        <f t="shared" si="3"/>
        <v>0</v>
      </c>
      <c r="Y17" s="30">
        <f t="shared" si="3"/>
        <v>0</v>
      </c>
      <c r="Z17" s="30">
        <f t="shared" si="3"/>
        <v>0</v>
      </c>
      <c r="AA17" s="30">
        <f t="shared" si="3"/>
        <v>0</v>
      </c>
      <c r="AB17" s="39">
        <f t="shared" si="4"/>
        <v>0</v>
      </c>
    </row>
    <row r="18" spans="1:28">
      <c r="A18" s="168">
        <v>4220</v>
      </c>
      <c r="B18" s="2">
        <v>136882</v>
      </c>
      <c r="C18" s="2" t="s">
        <v>223</v>
      </c>
      <c r="E18" s="171">
        <v>0</v>
      </c>
      <c r="F18" s="171">
        <v>0</v>
      </c>
      <c r="G18" s="171"/>
      <c r="H18" s="171">
        <v>36672.246666666666</v>
      </c>
      <c r="I18" s="171">
        <v>727.95333333333178</v>
      </c>
      <c r="J18" s="171">
        <v>71467.133333333331</v>
      </c>
      <c r="K18" s="171"/>
      <c r="L18" s="171">
        <v>0</v>
      </c>
      <c r="M18" s="171">
        <v>0</v>
      </c>
      <c r="N18" s="171">
        <v>0</v>
      </c>
      <c r="O18" s="164">
        <v>0</v>
      </c>
      <c r="P18" s="164">
        <v>0</v>
      </c>
      <c r="Q18" s="172">
        <f t="shared" si="1"/>
        <v>108867.33333333333</v>
      </c>
      <c r="S18" s="30">
        <f t="shared" si="2"/>
        <v>0</v>
      </c>
      <c r="T18" s="30">
        <f t="shared" si="2"/>
        <v>108867.33333333333</v>
      </c>
      <c r="U18" s="30">
        <f t="shared" ref="U18:AA27" si="5">SUMIF($E$3:$O$3,U$6,$E18:$O18)</f>
        <v>0</v>
      </c>
      <c r="V18" s="30">
        <f t="shared" si="5"/>
        <v>0</v>
      </c>
      <c r="W18" s="30">
        <f t="shared" si="5"/>
        <v>0</v>
      </c>
      <c r="X18" s="30">
        <f t="shared" si="5"/>
        <v>0</v>
      </c>
      <c r="Y18" s="30">
        <f t="shared" si="5"/>
        <v>0</v>
      </c>
      <c r="Z18" s="30">
        <f t="shared" si="5"/>
        <v>0</v>
      </c>
      <c r="AA18" s="30">
        <f t="shared" si="5"/>
        <v>0</v>
      </c>
      <c r="AB18" s="39">
        <f t="shared" si="4"/>
        <v>0</v>
      </c>
    </row>
    <row r="19" spans="1:28">
      <c r="A19" s="168">
        <v>2443</v>
      </c>
      <c r="B19" s="2">
        <v>142686</v>
      </c>
      <c r="C19" s="2" t="s">
        <v>224</v>
      </c>
      <c r="E19" s="171">
        <v>0</v>
      </c>
      <c r="F19" s="171">
        <v>0</v>
      </c>
      <c r="G19" s="171"/>
      <c r="H19" s="171">
        <v>49292.850000000006</v>
      </c>
      <c r="I19" s="171">
        <v>916.51099999999906</v>
      </c>
      <c r="J19" s="171">
        <v>45443.993333333332</v>
      </c>
      <c r="K19" s="171"/>
      <c r="L19" s="171">
        <v>0</v>
      </c>
      <c r="M19" s="171">
        <v>0</v>
      </c>
      <c r="N19" s="171">
        <v>0</v>
      </c>
      <c r="O19" s="164">
        <v>0</v>
      </c>
      <c r="P19" s="164">
        <v>0</v>
      </c>
      <c r="Q19" s="172">
        <f t="shared" si="1"/>
        <v>95653.354333333336</v>
      </c>
      <c r="S19" s="30">
        <f t="shared" si="2"/>
        <v>0</v>
      </c>
      <c r="T19" s="30">
        <f t="shared" si="2"/>
        <v>95653.354333333336</v>
      </c>
      <c r="U19" s="30">
        <f t="shared" si="5"/>
        <v>0</v>
      </c>
      <c r="V19" s="30">
        <f t="shared" si="5"/>
        <v>0</v>
      </c>
      <c r="W19" s="30">
        <f t="shared" si="5"/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0">
        <f t="shared" si="5"/>
        <v>0</v>
      </c>
      <c r="AB19" s="39">
        <f t="shared" si="4"/>
        <v>0</v>
      </c>
    </row>
    <row r="20" spans="1:28">
      <c r="A20" s="168">
        <v>4003</v>
      </c>
      <c r="B20" s="2">
        <v>138222</v>
      </c>
      <c r="C20" s="2" t="s">
        <v>225</v>
      </c>
      <c r="E20" s="171">
        <v>0</v>
      </c>
      <c r="F20" s="171">
        <v>0</v>
      </c>
      <c r="G20" s="171"/>
      <c r="H20" s="171">
        <v>4517.8</v>
      </c>
      <c r="I20" s="171">
        <v>87.199999999999818</v>
      </c>
      <c r="J20" s="171">
        <v>11250</v>
      </c>
      <c r="K20" s="171"/>
      <c r="L20" s="171">
        <v>0</v>
      </c>
      <c r="M20" s="171">
        <v>0</v>
      </c>
      <c r="N20" s="171">
        <v>0</v>
      </c>
      <c r="O20" s="164">
        <v>0</v>
      </c>
      <c r="P20" s="164">
        <v>0</v>
      </c>
      <c r="Q20" s="172">
        <f t="shared" si="1"/>
        <v>15855</v>
      </c>
      <c r="S20" s="30">
        <f t="shared" si="2"/>
        <v>0</v>
      </c>
      <c r="T20" s="30">
        <f t="shared" si="2"/>
        <v>15855</v>
      </c>
      <c r="U20" s="30">
        <f t="shared" si="5"/>
        <v>0</v>
      </c>
      <c r="V20" s="30">
        <f t="shared" si="5"/>
        <v>0</v>
      </c>
      <c r="W20" s="30">
        <f t="shared" si="5"/>
        <v>0</v>
      </c>
      <c r="X20" s="30">
        <f t="shared" si="5"/>
        <v>0</v>
      </c>
      <c r="Y20" s="30">
        <f t="shared" si="5"/>
        <v>0</v>
      </c>
      <c r="Z20" s="30">
        <f t="shared" si="5"/>
        <v>0</v>
      </c>
      <c r="AA20" s="30">
        <f t="shared" si="5"/>
        <v>0</v>
      </c>
      <c r="AB20" s="39">
        <f t="shared" si="4"/>
        <v>0</v>
      </c>
    </row>
    <row r="21" spans="1:28">
      <c r="A21" s="168">
        <v>3412</v>
      </c>
      <c r="B21" s="2">
        <v>143437</v>
      </c>
      <c r="C21" s="2" t="s">
        <v>226</v>
      </c>
      <c r="E21" s="171">
        <v>0</v>
      </c>
      <c r="F21" s="171">
        <v>0</v>
      </c>
      <c r="G21" s="171"/>
      <c r="H21" s="171">
        <v>68676.806666666671</v>
      </c>
      <c r="I21" s="171">
        <v>1211.5233333333313</v>
      </c>
      <c r="J21" s="171">
        <v>70430.006666666668</v>
      </c>
      <c r="K21" s="171"/>
      <c r="L21" s="171">
        <v>0</v>
      </c>
      <c r="M21" s="171">
        <v>0</v>
      </c>
      <c r="N21" s="171">
        <v>0</v>
      </c>
      <c r="O21" s="164">
        <v>0</v>
      </c>
      <c r="P21" s="164">
        <v>0</v>
      </c>
      <c r="Q21" s="172">
        <f t="shared" si="1"/>
        <v>140318.33666666667</v>
      </c>
      <c r="S21" s="30">
        <f t="shared" si="2"/>
        <v>0</v>
      </c>
      <c r="T21" s="30">
        <f t="shared" si="2"/>
        <v>140318.33666666667</v>
      </c>
      <c r="U21" s="30">
        <f t="shared" si="5"/>
        <v>0</v>
      </c>
      <c r="V21" s="30">
        <f t="shared" si="5"/>
        <v>0</v>
      </c>
      <c r="W21" s="30">
        <f t="shared" si="5"/>
        <v>0</v>
      </c>
      <c r="X21" s="30">
        <f t="shared" si="5"/>
        <v>0</v>
      </c>
      <c r="Y21" s="30">
        <f t="shared" si="5"/>
        <v>0</v>
      </c>
      <c r="Z21" s="30">
        <f t="shared" si="5"/>
        <v>0</v>
      </c>
      <c r="AA21" s="30">
        <f t="shared" si="5"/>
        <v>0</v>
      </c>
      <c r="AB21" s="39">
        <f t="shared" si="4"/>
        <v>0</v>
      </c>
    </row>
    <row r="22" spans="1:28">
      <c r="A22" s="168">
        <v>2450</v>
      </c>
      <c r="B22" s="2">
        <v>138694</v>
      </c>
      <c r="C22" s="2" t="s">
        <v>227</v>
      </c>
      <c r="E22" s="171">
        <v>0</v>
      </c>
      <c r="F22" s="171">
        <v>0</v>
      </c>
      <c r="G22" s="171"/>
      <c r="H22" s="171">
        <v>54098.11</v>
      </c>
      <c r="I22" s="171">
        <v>1053.6833333333313</v>
      </c>
      <c r="J22" s="171">
        <v>47006.006666666661</v>
      </c>
      <c r="K22" s="171"/>
      <c r="L22" s="171">
        <v>0</v>
      </c>
      <c r="M22" s="171">
        <v>0</v>
      </c>
      <c r="N22" s="171">
        <v>0</v>
      </c>
      <c r="O22" s="164">
        <v>0</v>
      </c>
      <c r="P22" s="164">
        <v>0</v>
      </c>
      <c r="Q22" s="172">
        <f t="shared" si="1"/>
        <v>102157.79999999999</v>
      </c>
      <c r="S22" s="30">
        <f t="shared" si="2"/>
        <v>0</v>
      </c>
      <c r="T22" s="30">
        <f t="shared" si="2"/>
        <v>102157.79999999999</v>
      </c>
      <c r="U22" s="30">
        <f t="shared" si="5"/>
        <v>0</v>
      </c>
      <c r="V22" s="30">
        <f t="shared" si="5"/>
        <v>0</v>
      </c>
      <c r="W22" s="30">
        <f t="shared" si="5"/>
        <v>0</v>
      </c>
      <c r="X22" s="30">
        <f t="shared" si="5"/>
        <v>0</v>
      </c>
      <c r="Y22" s="30">
        <f t="shared" si="5"/>
        <v>0</v>
      </c>
      <c r="Z22" s="30">
        <f t="shared" si="5"/>
        <v>0</v>
      </c>
      <c r="AA22" s="30">
        <f t="shared" si="5"/>
        <v>0</v>
      </c>
      <c r="AB22" s="39">
        <f t="shared" si="4"/>
        <v>0</v>
      </c>
    </row>
    <row r="23" spans="1:28">
      <c r="A23" s="168">
        <v>4108</v>
      </c>
      <c r="B23" s="2">
        <v>136589</v>
      </c>
      <c r="C23" s="2" t="s">
        <v>228</v>
      </c>
      <c r="E23" s="171">
        <v>0</v>
      </c>
      <c r="F23" s="171">
        <v>0</v>
      </c>
      <c r="G23" s="171"/>
      <c r="H23" s="171">
        <v>43862.280000000006</v>
      </c>
      <c r="I23" s="171">
        <v>879.90506666666533</v>
      </c>
      <c r="J23" s="171">
        <v>75003.333333333328</v>
      </c>
      <c r="K23" s="171"/>
      <c r="L23" s="171">
        <v>0</v>
      </c>
      <c r="M23" s="171">
        <v>0</v>
      </c>
      <c r="N23" s="171">
        <v>0</v>
      </c>
      <c r="O23" s="164">
        <v>0</v>
      </c>
      <c r="P23" s="164">
        <v>0</v>
      </c>
      <c r="Q23" s="172">
        <f t="shared" si="1"/>
        <v>119745.5184</v>
      </c>
      <c r="S23" s="30">
        <f t="shared" si="2"/>
        <v>0</v>
      </c>
      <c r="T23" s="30">
        <f t="shared" si="2"/>
        <v>119745.5184</v>
      </c>
      <c r="U23" s="30">
        <f t="shared" si="5"/>
        <v>0</v>
      </c>
      <c r="V23" s="30">
        <f t="shared" si="5"/>
        <v>0</v>
      </c>
      <c r="W23" s="30">
        <f t="shared" si="5"/>
        <v>0</v>
      </c>
      <c r="X23" s="30">
        <f t="shared" si="5"/>
        <v>0</v>
      </c>
      <c r="Y23" s="30">
        <f t="shared" si="5"/>
        <v>0</v>
      </c>
      <c r="Z23" s="30">
        <f t="shared" si="5"/>
        <v>0</v>
      </c>
      <c r="AA23" s="30">
        <f t="shared" si="5"/>
        <v>0</v>
      </c>
      <c r="AB23" s="39">
        <f t="shared" si="4"/>
        <v>0</v>
      </c>
    </row>
    <row r="24" spans="1:28">
      <c r="A24" s="168">
        <v>2072</v>
      </c>
      <c r="B24" s="2">
        <v>138888</v>
      </c>
      <c r="C24" s="2" t="s">
        <v>229</v>
      </c>
      <c r="E24" s="171">
        <v>0</v>
      </c>
      <c r="F24" s="171">
        <v>0</v>
      </c>
      <c r="G24" s="171"/>
      <c r="H24" s="171">
        <v>87289.970000000016</v>
      </c>
      <c r="I24" s="171">
        <v>1410.1533333333316</v>
      </c>
      <c r="J24" s="171">
        <v>86439.666666666672</v>
      </c>
      <c r="K24" s="171"/>
      <c r="L24" s="171">
        <v>0</v>
      </c>
      <c r="M24" s="171">
        <v>0</v>
      </c>
      <c r="N24" s="171">
        <v>0</v>
      </c>
      <c r="O24" s="164">
        <v>0</v>
      </c>
      <c r="P24" s="164">
        <v>0</v>
      </c>
      <c r="Q24" s="172">
        <f t="shared" si="1"/>
        <v>175139.79000000004</v>
      </c>
      <c r="S24" s="30">
        <f t="shared" si="2"/>
        <v>0</v>
      </c>
      <c r="T24" s="30">
        <f t="shared" si="2"/>
        <v>175139.79000000004</v>
      </c>
      <c r="U24" s="30">
        <f t="shared" si="5"/>
        <v>0</v>
      </c>
      <c r="V24" s="30">
        <f t="shared" si="5"/>
        <v>0</v>
      </c>
      <c r="W24" s="30">
        <f t="shared" si="5"/>
        <v>0</v>
      </c>
      <c r="X24" s="30">
        <f t="shared" si="5"/>
        <v>0</v>
      </c>
      <c r="Y24" s="30">
        <f t="shared" si="5"/>
        <v>0</v>
      </c>
      <c r="Z24" s="30">
        <f t="shared" si="5"/>
        <v>0</v>
      </c>
      <c r="AA24" s="30">
        <f t="shared" si="5"/>
        <v>0</v>
      </c>
      <c r="AB24" s="39">
        <f t="shared" si="4"/>
        <v>0</v>
      </c>
    </row>
    <row r="25" spans="1:28">
      <c r="A25" s="168">
        <v>2211</v>
      </c>
      <c r="B25" s="2">
        <v>150054</v>
      </c>
      <c r="C25" s="2" t="s">
        <v>230</v>
      </c>
      <c r="E25" s="171">
        <v>0</v>
      </c>
      <c r="F25" s="171">
        <v>0</v>
      </c>
      <c r="G25" s="171"/>
      <c r="H25" s="171">
        <v>38181.050000000003</v>
      </c>
      <c r="I25" s="171">
        <v>625.61333333333232</v>
      </c>
      <c r="J25" s="171">
        <v>45169.333333333336</v>
      </c>
      <c r="K25" s="171"/>
      <c r="L25" s="171">
        <v>0</v>
      </c>
      <c r="M25" s="171">
        <v>0</v>
      </c>
      <c r="N25" s="171">
        <v>0</v>
      </c>
      <c r="O25" s="164">
        <v>0</v>
      </c>
      <c r="P25" s="164">
        <v>0</v>
      </c>
      <c r="Q25" s="172">
        <f t="shared" si="1"/>
        <v>83975.996666666673</v>
      </c>
      <c r="S25" s="30">
        <f t="shared" si="2"/>
        <v>0</v>
      </c>
      <c r="T25" s="30">
        <f t="shared" si="2"/>
        <v>83975.996666666673</v>
      </c>
      <c r="U25" s="30">
        <f t="shared" si="5"/>
        <v>0</v>
      </c>
      <c r="V25" s="30">
        <f t="shared" si="5"/>
        <v>0</v>
      </c>
      <c r="W25" s="30">
        <f t="shared" si="5"/>
        <v>0</v>
      </c>
      <c r="X25" s="30">
        <f t="shared" si="5"/>
        <v>0</v>
      </c>
      <c r="Y25" s="30">
        <f t="shared" si="5"/>
        <v>0</v>
      </c>
      <c r="Z25" s="30">
        <f t="shared" si="5"/>
        <v>0</v>
      </c>
      <c r="AA25" s="30">
        <f t="shared" si="5"/>
        <v>0</v>
      </c>
      <c r="AB25" s="39">
        <f t="shared" si="4"/>
        <v>0</v>
      </c>
    </row>
    <row r="26" spans="1:28">
      <c r="A26" s="168">
        <v>2186</v>
      </c>
      <c r="B26" s="2">
        <v>146075</v>
      </c>
      <c r="C26" s="2" t="s">
        <v>231</v>
      </c>
      <c r="E26" s="171">
        <v>0</v>
      </c>
      <c r="F26" s="171">
        <v>0</v>
      </c>
      <c r="G26" s="171"/>
      <c r="H26" s="171">
        <v>60714.920000000013</v>
      </c>
      <c r="I26" s="171">
        <v>1170.1466666666643</v>
      </c>
      <c r="J26" s="171">
        <v>59603.003333333334</v>
      </c>
      <c r="K26" s="171"/>
      <c r="L26" s="171">
        <v>0</v>
      </c>
      <c r="M26" s="171">
        <v>0</v>
      </c>
      <c r="N26" s="171">
        <v>0</v>
      </c>
      <c r="O26" s="164">
        <v>0</v>
      </c>
      <c r="P26" s="164">
        <v>0</v>
      </c>
      <c r="Q26" s="172">
        <f t="shared" si="1"/>
        <v>121488.07</v>
      </c>
      <c r="S26" s="30">
        <f t="shared" si="2"/>
        <v>0</v>
      </c>
      <c r="T26" s="30">
        <f t="shared" si="2"/>
        <v>121488.07</v>
      </c>
      <c r="U26" s="30">
        <f t="shared" si="5"/>
        <v>0</v>
      </c>
      <c r="V26" s="30">
        <f t="shared" si="5"/>
        <v>0</v>
      </c>
      <c r="W26" s="30">
        <f t="shared" si="5"/>
        <v>0</v>
      </c>
      <c r="X26" s="30">
        <f t="shared" si="5"/>
        <v>0</v>
      </c>
      <c r="Y26" s="30">
        <f t="shared" si="5"/>
        <v>0</v>
      </c>
      <c r="Z26" s="30">
        <f t="shared" si="5"/>
        <v>0</v>
      </c>
      <c r="AA26" s="30">
        <f t="shared" si="5"/>
        <v>0</v>
      </c>
      <c r="AB26" s="39">
        <f t="shared" si="4"/>
        <v>0</v>
      </c>
    </row>
    <row r="27" spans="1:28">
      <c r="A27" s="168">
        <v>4660</v>
      </c>
      <c r="B27" s="2">
        <v>137988</v>
      </c>
      <c r="C27" s="2" t="s">
        <v>232</v>
      </c>
      <c r="E27" s="171">
        <v>0</v>
      </c>
      <c r="F27" s="171">
        <v>0</v>
      </c>
      <c r="G27" s="171"/>
      <c r="H27" s="171">
        <v>29341.963333333333</v>
      </c>
      <c r="I27" s="171">
        <v>396.36999999999921</v>
      </c>
      <c r="J27" s="171">
        <v>25505.666666666664</v>
      </c>
      <c r="K27" s="171"/>
      <c r="L27" s="171">
        <v>0</v>
      </c>
      <c r="M27" s="171">
        <v>0</v>
      </c>
      <c r="N27" s="171">
        <v>0</v>
      </c>
      <c r="O27" s="164">
        <v>0</v>
      </c>
      <c r="P27" s="164">
        <v>0</v>
      </c>
      <c r="Q27" s="172">
        <f t="shared" si="1"/>
        <v>55244</v>
      </c>
      <c r="S27" s="30">
        <f t="shared" si="2"/>
        <v>0</v>
      </c>
      <c r="T27" s="30">
        <f t="shared" si="2"/>
        <v>55244</v>
      </c>
      <c r="U27" s="30">
        <f t="shared" si="5"/>
        <v>0</v>
      </c>
      <c r="V27" s="30">
        <f t="shared" si="5"/>
        <v>0</v>
      </c>
      <c r="W27" s="30">
        <f t="shared" si="5"/>
        <v>0</v>
      </c>
      <c r="X27" s="30">
        <f t="shared" si="5"/>
        <v>0</v>
      </c>
      <c r="Y27" s="30">
        <f t="shared" si="5"/>
        <v>0</v>
      </c>
      <c r="Z27" s="30">
        <f t="shared" si="5"/>
        <v>0</v>
      </c>
      <c r="AA27" s="30">
        <f t="shared" si="5"/>
        <v>0</v>
      </c>
      <c r="AB27" s="39">
        <f t="shared" si="4"/>
        <v>0</v>
      </c>
    </row>
    <row r="28" spans="1:28">
      <c r="A28" s="168">
        <v>4661</v>
      </c>
      <c r="B28" s="2">
        <v>140524</v>
      </c>
      <c r="C28" s="2" t="s">
        <v>233</v>
      </c>
      <c r="E28" s="171">
        <v>0</v>
      </c>
      <c r="F28" s="171">
        <v>0</v>
      </c>
      <c r="G28" s="171"/>
      <c r="H28" s="171">
        <v>30508.17</v>
      </c>
      <c r="I28" s="171">
        <v>525.29666666666571</v>
      </c>
      <c r="J28" s="171">
        <v>34998.666666666664</v>
      </c>
      <c r="K28" s="171"/>
      <c r="L28" s="171">
        <v>41996.916666666672</v>
      </c>
      <c r="M28" s="171">
        <v>0</v>
      </c>
      <c r="N28" s="171">
        <v>0</v>
      </c>
      <c r="O28" s="164">
        <v>0</v>
      </c>
      <c r="P28" s="164">
        <v>0</v>
      </c>
      <c r="Q28" s="172">
        <f t="shared" si="1"/>
        <v>108029.05</v>
      </c>
      <c r="S28" s="30">
        <f t="shared" ref="S28:T49" si="6">SUMIF($E$3:$P$3,S$6,$E28:$P28)</f>
        <v>41996.916666666672</v>
      </c>
      <c r="T28" s="30">
        <f t="shared" si="6"/>
        <v>66032.133333333331</v>
      </c>
      <c r="U28" s="30">
        <f t="shared" ref="U28:AA39" si="7">SUMIF($E$3:$O$3,U$6,$E28:$O28)</f>
        <v>0</v>
      </c>
      <c r="V28" s="30">
        <f t="shared" si="7"/>
        <v>0</v>
      </c>
      <c r="W28" s="30">
        <f t="shared" si="7"/>
        <v>0</v>
      </c>
      <c r="X28" s="30">
        <f t="shared" si="7"/>
        <v>0</v>
      </c>
      <c r="Y28" s="30">
        <f t="shared" si="7"/>
        <v>0</v>
      </c>
      <c r="Z28" s="30">
        <f t="shared" si="7"/>
        <v>0</v>
      </c>
      <c r="AA28" s="30">
        <f t="shared" si="7"/>
        <v>0</v>
      </c>
      <c r="AB28" s="39">
        <f t="shared" si="4"/>
        <v>0</v>
      </c>
    </row>
    <row r="29" spans="1:28">
      <c r="A29" s="168">
        <v>4000</v>
      </c>
      <c r="B29" s="2">
        <v>136944</v>
      </c>
      <c r="C29" s="2" t="s">
        <v>234</v>
      </c>
      <c r="E29" s="171">
        <v>0</v>
      </c>
      <c r="F29" s="171">
        <v>0</v>
      </c>
      <c r="G29" s="171"/>
      <c r="H29" s="171">
        <v>8142.75</v>
      </c>
      <c r="I29" s="171">
        <v>54.416666666666515</v>
      </c>
      <c r="J29" s="171">
        <v>2768.6666666666665</v>
      </c>
      <c r="K29" s="171"/>
      <c r="L29" s="171">
        <v>0</v>
      </c>
      <c r="M29" s="171">
        <v>0</v>
      </c>
      <c r="N29" s="171">
        <v>0</v>
      </c>
      <c r="O29" s="164">
        <v>0</v>
      </c>
      <c r="P29" s="164">
        <v>0</v>
      </c>
      <c r="Q29" s="172">
        <f t="shared" si="1"/>
        <v>10965.833333333332</v>
      </c>
      <c r="S29" s="30">
        <f t="shared" si="6"/>
        <v>0</v>
      </c>
      <c r="T29" s="30">
        <f t="shared" si="6"/>
        <v>10965.833333333332</v>
      </c>
      <c r="U29" s="30">
        <f t="shared" si="7"/>
        <v>0</v>
      </c>
      <c r="V29" s="30">
        <f t="shared" si="7"/>
        <v>0</v>
      </c>
      <c r="W29" s="30">
        <f t="shared" si="7"/>
        <v>0</v>
      </c>
      <c r="X29" s="30">
        <f t="shared" si="7"/>
        <v>0</v>
      </c>
      <c r="Y29" s="30">
        <f t="shared" si="7"/>
        <v>0</v>
      </c>
      <c r="Z29" s="30">
        <f t="shared" si="7"/>
        <v>0</v>
      </c>
      <c r="AA29" s="30">
        <f t="shared" si="7"/>
        <v>0</v>
      </c>
      <c r="AB29" s="39">
        <f t="shared" si="4"/>
        <v>0</v>
      </c>
    </row>
    <row r="30" spans="1:28">
      <c r="A30" s="168">
        <v>4044</v>
      </c>
      <c r="B30" s="2">
        <v>149042</v>
      </c>
      <c r="C30" s="2" t="s">
        <v>235</v>
      </c>
      <c r="E30" s="171">
        <v>0</v>
      </c>
      <c r="F30" s="171">
        <v>0</v>
      </c>
      <c r="G30" s="171"/>
      <c r="H30" s="171">
        <v>34330.720000000001</v>
      </c>
      <c r="I30" s="171">
        <v>426.94666666666581</v>
      </c>
      <c r="J30" s="171">
        <v>34161.999999999993</v>
      </c>
      <c r="K30" s="171"/>
      <c r="L30" s="171">
        <v>10499.229166666668</v>
      </c>
      <c r="M30" s="171">
        <v>0</v>
      </c>
      <c r="N30" s="171">
        <v>0</v>
      </c>
      <c r="O30" s="164">
        <v>0</v>
      </c>
      <c r="P30" s="164">
        <v>0</v>
      </c>
      <c r="Q30" s="172">
        <f t="shared" si="1"/>
        <v>79418.895833333328</v>
      </c>
      <c r="S30" s="30">
        <f t="shared" si="6"/>
        <v>10499.229166666668</v>
      </c>
      <c r="T30" s="30">
        <f t="shared" si="6"/>
        <v>68919.666666666657</v>
      </c>
      <c r="U30" s="30">
        <f t="shared" si="7"/>
        <v>0</v>
      </c>
      <c r="V30" s="30">
        <f t="shared" si="7"/>
        <v>0</v>
      </c>
      <c r="W30" s="30">
        <f t="shared" si="7"/>
        <v>0</v>
      </c>
      <c r="X30" s="30">
        <f t="shared" si="7"/>
        <v>0</v>
      </c>
      <c r="Y30" s="30">
        <f t="shared" si="7"/>
        <v>0</v>
      </c>
      <c r="Z30" s="30">
        <f t="shared" si="7"/>
        <v>0</v>
      </c>
      <c r="AA30" s="30">
        <f t="shared" si="7"/>
        <v>0</v>
      </c>
      <c r="AB30" s="39">
        <f t="shared" si="4"/>
        <v>0</v>
      </c>
    </row>
    <row r="31" spans="1:28">
      <c r="A31" s="168">
        <v>4043</v>
      </c>
      <c r="B31" s="2">
        <v>148635</v>
      </c>
      <c r="C31" s="2" t="s">
        <v>236</v>
      </c>
      <c r="E31" s="171">
        <v>0</v>
      </c>
      <c r="F31" s="171">
        <v>0</v>
      </c>
      <c r="G31" s="171"/>
      <c r="H31" s="171">
        <v>0</v>
      </c>
      <c r="I31" s="171">
        <v>0</v>
      </c>
      <c r="J31" s="171">
        <v>0</v>
      </c>
      <c r="K31" s="171"/>
      <c r="L31" s="171">
        <v>0</v>
      </c>
      <c r="M31" s="171">
        <v>0</v>
      </c>
      <c r="N31" s="171">
        <v>0</v>
      </c>
      <c r="O31" s="164">
        <v>0</v>
      </c>
      <c r="P31" s="164">
        <v>0</v>
      </c>
      <c r="Q31" s="172">
        <f t="shared" si="1"/>
        <v>0</v>
      </c>
      <c r="S31" s="30">
        <f t="shared" si="6"/>
        <v>0</v>
      </c>
      <c r="T31" s="30">
        <f t="shared" si="6"/>
        <v>0</v>
      </c>
      <c r="U31" s="30">
        <f t="shared" si="7"/>
        <v>0</v>
      </c>
      <c r="V31" s="30">
        <f t="shared" si="7"/>
        <v>0</v>
      </c>
      <c r="W31" s="30">
        <f t="shared" si="7"/>
        <v>0</v>
      </c>
      <c r="X31" s="30">
        <f t="shared" si="7"/>
        <v>0</v>
      </c>
      <c r="Y31" s="30">
        <f t="shared" si="7"/>
        <v>0</v>
      </c>
      <c r="Z31" s="30">
        <f t="shared" si="7"/>
        <v>0</v>
      </c>
      <c r="AA31" s="30">
        <f t="shared" si="7"/>
        <v>0</v>
      </c>
      <c r="AB31" s="39">
        <f t="shared" si="4"/>
        <v>0</v>
      </c>
    </row>
    <row r="32" spans="1:28">
      <c r="A32" s="168">
        <v>2171</v>
      </c>
      <c r="B32" s="2">
        <v>144337</v>
      </c>
      <c r="C32" s="2" t="s">
        <v>237</v>
      </c>
      <c r="E32" s="171">
        <v>0</v>
      </c>
      <c r="F32" s="171">
        <v>0</v>
      </c>
      <c r="G32" s="171"/>
      <c r="H32" s="171">
        <v>17588.34</v>
      </c>
      <c r="I32" s="171">
        <v>302.46100000000047</v>
      </c>
      <c r="J32" s="171">
        <v>22399.660000000003</v>
      </c>
      <c r="K32" s="171"/>
      <c r="L32" s="171">
        <v>0</v>
      </c>
      <c r="M32" s="171">
        <v>0</v>
      </c>
      <c r="N32" s="171">
        <v>0</v>
      </c>
      <c r="O32" s="164">
        <v>0</v>
      </c>
      <c r="P32" s="164">
        <v>0</v>
      </c>
      <c r="Q32" s="172">
        <f t="shared" si="1"/>
        <v>40290.461000000003</v>
      </c>
      <c r="S32" s="30">
        <f t="shared" si="6"/>
        <v>0</v>
      </c>
      <c r="T32" s="30">
        <f t="shared" si="6"/>
        <v>40290.461000000003</v>
      </c>
      <c r="U32" s="30">
        <f t="shared" si="7"/>
        <v>0</v>
      </c>
      <c r="V32" s="30">
        <f t="shared" si="7"/>
        <v>0</v>
      </c>
      <c r="W32" s="30">
        <f t="shared" si="7"/>
        <v>0</v>
      </c>
      <c r="X32" s="30">
        <f t="shared" si="7"/>
        <v>0</v>
      </c>
      <c r="Y32" s="30">
        <f t="shared" si="7"/>
        <v>0</v>
      </c>
      <c r="Z32" s="30">
        <f t="shared" si="7"/>
        <v>0</v>
      </c>
      <c r="AA32" s="30">
        <f t="shared" si="7"/>
        <v>0</v>
      </c>
      <c r="AB32" s="39">
        <f t="shared" si="4"/>
        <v>0</v>
      </c>
    </row>
    <row r="33" spans="1:28">
      <c r="A33" s="168">
        <v>4017</v>
      </c>
      <c r="B33" s="2">
        <v>141318</v>
      </c>
      <c r="C33" s="2" t="s">
        <v>238</v>
      </c>
      <c r="E33" s="171">
        <v>0</v>
      </c>
      <c r="F33" s="171">
        <v>0</v>
      </c>
      <c r="G33" s="171"/>
      <c r="H33" s="171">
        <v>78831.433333333349</v>
      </c>
      <c r="I33" s="171">
        <v>1208.9599999999978</v>
      </c>
      <c r="J33" s="171">
        <v>75717.416666666657</v>
      </c>
      <c r="K33" s="171"/>
      <c r="L33" s="171">
        <v>70554.820000000007</v>
      </c>
      <c r="M33" s="171">
        <v>50396.3</v>
      </c>
      <c r="N33" s="171">
        <v>94799.075000000012</v>
      </c>
      <c r="O33" s="164">
        <v>0</v>
      </c>
      <c r="P33" s="164">
        <v>0</v>
      </c>
      <c r="Q33" s="172">
        <f t="shared" si="1"/>
        <v>371508.005</v>
      </c>
      <c r="S33" s="30">
        <f t="shared" si="6"/>
        <v>215750.19500000001</v>
      </c>
      <c r="T33" s="30">
        <f t="shared" si="6"/>
        <v>155757.81</v>
      </c>
      <c r="U33" s="30">
        <f t="shared" si="7"/>
        <v>0</v>
      </c>
      <c r="V33" s="30">
        <f t="shared" si="7"/>
        <v>0</v>
      </c>
      <c r="W33" s="30">
        <f t="shared" si="7"/>
        <v>0</v>
      </c>
      <c r="X33" s="30">
        <f t="shared" si="7"/>
        <v>0</v>
      </c>
      <c r="Y33" s="30">
        <f t="shared" si="7"/>
        <v>0</v>
      </c>
      <c r="Z33" s="30">
        <f t="shared" si="7"/>
        <v>0</v>
      </c>
      <c r="AA33" s="30">
        <f t="shared" si="7"/>
        <v>0</v>
      </c>
      <c r="AB33" s="39">
        <f t="shared" si="4"/>
        <v>0</v>
      </c>
    </row>
    <row r="34" spans="1:28">
      <c r="A34" s="168">
        <v>7038</v>
      </c>
      <c r="B34" s="2">
        <v>144042</v>
      </c>
      <c r="C34" s="2" t="s">
        <v>239</v>
      </c>
      <c r="E34" s="171">
        <v>37800</v>
      </c>
      <c r="F34" s="171">
        <v>0</v>
      </c>
      <c r="G34" s="171"/>
      <c r="H34" s="171">
        <v>0</v>
      </c>
      <c r="I34" s="171">
        <v>0</v>
      </c>
      <c r="J34" s="171">
        <v>0</v>
      </c>
      <c r="K34" s="171"/>
      <c r="L34" s="171">
        <v>0</v>
      </c>
      <c r="M34" s="171">
        <v>0</v>
      </c>
      <c r="N34" s="171">
        <v>0</v>
      </c>
      <c r="O34" s="164">
        <v>0</v>
      </c>
      <c r="P34" s="164">
        <v>0</v>
      </c>
      <c r="Q34" s="172">
        <f t="shared" si="1"/>
        <v>37800</v>
      </c>
      <c r="S34" s="30">
        <f t="shared" si="6"/>
        <v>0</v>
      </c>
      <c r="T34" s="30">
        <f t="shared" si="6"/>
        <v>37800</v>
      </c>
      <c r="U34" s="30">
        <f t="shared" si="7"/>
        <v>0</v>
      </c>
      <c r="V34" s="30">
        <f t="shared" si="7"/>
        <v>0</v>
      </c>
      <c r="W34" s="30">
        <f t="shared" si="7"/>
        <v>0</v>
      </c>
      <c r="X34" s="30">
        <f t="shared" si="7"/>
        <v>0</v>
      </c>
      <c r="Y34" s="30">
        <f t="shared" si="7"/>
        <v>0</v>
      </c>
      <c r="Z34" s="30">
        <f t="shared" si="7"/>
        <v>0</v>
      </c>
      <c r="AA34" s="30">
        <f t="shared" si="7"/>
        <v>0</v>
      </c>
      <c r="AB34" s="39">
        <f t="shared" si="4"/>
        <v>0</v>
      </c>
    </row>
    <row r="35" spans="1:28">
      <c r="A35" s="168">
        <v>4227</v>
      </c>
      <c r="B35" s="2">
        <v>139841</v>
      </c>
      <c r="C35" s="2" t="s">
        <v>240</v>
      </c>
      <c r="E35" s="171">
        <v>0</v>
      </c>
      <c r="F35" s="171">
        <v>0</v>
      </c>
      <c r="G35" s="171"/>
      <c r="H35" s="171">
        <v>56807.079999999994</v>
      </c>
      <c r="I35" s="171">
        <v>332.84999999999985</v>
      </c>
      <c r="J35" s="171">
        <v>44821.749999999993</v>
      </c>
      <c r="K35" s="171"/>
      <c r="L35" s="171">
        <v>0</v>
      </c>
      <c r="M35" s="171">
        <v>0</v>
      </c>
      <c r="N35" s="171">
        <v>0</v>
      </c>
      <c r="O35" s="164">
        <v>0</v>
      </c>
      <c r="P35" s="164">
        <v>0</v>
      </c>
      <c r="Q35" s="172">
        <f t="shared" si="1"/>
        <v>101961.68</v>
      </c>
      <c r="S35" s="30">
        <f t="shared" si="6"/>
        <v>0</v>
      </c>
      <c r="T35" s="30">
        <f t="shared" si="6"/>
        <v>101961.68</v>
      </c>
      <c r="U35" s="30">
        <f t="shared" si="7"/>
        <v>0</v>
      </c>
      <c r="V35" s="30">
        <f t="shared" si="7"/>
        <v>0</v>
      </c>
      <c r="W35" s="30">
        <f t="shared" si="7"/>
        <v>0</v>
      </c>
      <c r="X35" s="30">
        <f t="shared" si="7"/>
        <v>0</v>
      </c>
      <c r="Y35" s="30">
        <f t="shared" si="7"/>
        <v>0</v>
      </c>
      <c r="Z35" s="30">
        <f t="shared" si="7"/>
        <v>0</v>
      </c>
      <c r="AA35" s="30">
        <f t="shared" si="7"/>
        <v>0</v>
      </c>
      <c r="AB35" s="39">
        <f t="shared" si="4"/>
        <v>0</v>
      </c>
    </row>
    <row r="36" spans="1:28">
      <c r="A36" s="168">
        <v>2223</v>
      </c>
      <c r="B36" s="2">
        <v>151212</v>
      </c>
      <c r="C36" s="2" t="s">
        <v>10</v>
      </c>
      <c r="E36" s="171">
        <v>0</v>
      </c>
      <c r="F36" s="171">
        <v>0</v>
      </c>
      <c r="G36" s="171"/>
      <c r="H36" s="171">
        <v>17787.466666666667</v>
      </c>
      <c r="I36" s="171">
        <v>298.45</v>
      </c>
      <c r="J36" s="171">
        <v>18557.33666666667</v>
      </c>
      <c r="K36" s="171"/>
      <c r="L36" s="171"/>
      <c r="M36" s="171"/>
      <c r="N36" s="171"/>
      <c r="O36" s="164"/>
      <c r="P36" s="164"/>
      <c r="Q36" s="172"/>
      <c r="S36" s="30"/>
      <c r="T36" s="30"/>
      <c r="U36" s="30"/>
      <c r="V36" s="30"/>
      <c r="W36" s="30"/>
      <c r="X36" s="30"/>
      <c r="Y36" s="30"/>
      <c r="Z36" s="30"/>
      <c r="AA36" s="30"/>
      <c r="AB36" s="39"/>
    </row>
    <row r="37" spans="1:28">
      <c r="A37" s="168">
        <v>2236</v>
      </c>
      <c r="B37" s="2">
        <v>151402</v>
      </c>
      <c r="C37" s="2" t="s">
        <v>11</v>
      </c>
      <c r="E37" s="171">
        <v>0</v>
      </c>
      <c r="F37" s="171">
        <v>0</v>
      </c>
      <c r="G37" s="171"/>
      <c r="H37" s="171">
        <v>27383.776666666668</v>
      </c>
      <c r="I37" s="171">
        <v>494.48333333333221</v>
      </c>
      <c r="J37" s="171">
        <v>18897.336666666666</v>
      </c>
      <c r="K37" s="171"/>
      <c r="L37" s="171"/>
      <c r="M37" s="171"/>
      <c r="N37" s="171"/>
      <c r="O37" s="164"/>
      <c r="P37" s="164"/>
      <c r="Q37" s="172"/>
      <c r="S37" s="30"/>
      <c r="T37" s="30"/>
      <c r="U37" s="30"/>
      <c r="V37" s="30"/>
      <c r="W37" s="30"/>
      <c r="X37" s="30"/>
      <c r="Y37" s="30"/>
      <c r="Z37" s="30"/>
      <c r="AA37" s="30"/>
      <c r="AB37" s="39"/>
    </row>
    <row r="38" spans="1:28">
      <c r="A38" s="168">
        <v>2196</v>
      </c>
      <c r="B38" s="2">
        <v>146437</v>
      </c>
      <c r="C38" s="2" t="s">
        <v>241</v>
      </c>
      <c r="E38" s="171">
        <v>0</v>
      </c>
      <c r="F38" s="171">
        <v>0</v>
      </c>
      <c r="G38" s="171"/>
      <c r="H38" s="171">
        <v>73659.186666666676</v>
      </c>
      <c r="I38" s="171">
        <v>1087.6433333333316</v>
      </c>
      <c r="J38" s="171">
        <v>60784.666666666664</v>
      </c>
      <c r="K38" s="171"/>
      <c r="L38" s="171">
        <v>0</v>
      </c>
      <c r="M38" s="171">
        <v>0</v>
      </c>
      <c r="N38" s="171">
        <v>0</v>
      </c>
      <c r="O38" s="164">
        <v>0</v>
      </c>
      <c r="P38" s="164">
        <v>0</v>
      </c>
      <c r="Q38" s="172">
        <f t="shared" si="1"/>
        <v>135531.49666666667</v>
      </c>
      <c r="S38" s="30">
        <f t="shared" si="6"/>
        <v>0</v>
      </c>
      <c r="T38" s="30">
        <f t="shared" si="6"/>
        <v>135531.49666666667</v>
      </c>
      <c r="U38" s="30">
        <f t="shared" si="7"/>
        <v>0</v>
      </c>
      <c r="V38" s="30">
        <f t="shared" si="7"/>
        <v>0</v>
      </c>
      <c r="W38" s="30">
        <f t="shared" si="7"/>
        <v>0</v>
      </c>
      <c r="X38" s="30">
        <f t="shared" si="7"/>
        <v>0</v>
      </c>
      <c r="Y38" s="30">
        <f t="shared" si="7"/>
        <v>0</v>
      </c>
      <c r="Z38" s="30">
        <f t="shared" si="7"/>
        <v>0</v>
      </c>
      <c r="AA38" s="30">
        <f t="shared" si="7"/>
        <v>0</v>
      </c>
      <c r="AB38" s="39">
        <f t="shared" si="4"/>
        <v>0</v>
      </c>
    </row>
    <row r="39" spans="1:28">
      <c r="A39" s="168">
        <v>2295</v>
      </c>
      <c r="B39" s="2">
        <v>139465</v>
      </c>
      <c r="C39" s="2" t="s">
        <v>242</v>
      </c>
      <c r="E39" s="171">
        <v>0</v>
      </c>
      <c r="F39" s="171">
        <v>0</v>
      </c>
      <c r="G39" s="171"/>
      <c r="H39" s="171">
        <v>24125.083333333332</v>
      </c>
      <c r="I39" s="171">
        <v>396.79666666666617</v>
      </c>
      <c r="J39" s="171">
        <v>21598.003333333334</v>
      </c>
      <c r="K39" s="171"/>
      <c r="L39" s="171">
        <v>0</v>
      </c>
      <c r="M39" s="171">
        <v>0</v>
      </c>
      <c r="N39" s="171">
        <v>0</v>
      </c>
      <c r="O39" s="164">
        <v>0</v>
      </c>
      <c r="P39" s="164">
        <v>0</v>
      </c>
      <c r="Q39" s="172">
        <f t="shared" si="1"/>
        <v>46119.883333333331</v>
      </c>
      <c r="S39" s="30">
        <f t="shared" si="6"/>
        <v>0</v>
      </c>
      <c r="T39" s="30">
        <f t="shared" si="6"/>
        <v>46119.883333333331</v>
      </c>
      <c r="U39" s="30">
        <f t="shared" si="7"/>
        <v>0</v>
      </c>
      <c r="V39" s="30">
        <f t="shared" si="7"/>
        <v>0</v>
      </c>
      <c r="W39" s="30">
        <f t="shared" si="7"/>
        <v>0</v>
      </c>
      <c r="X39" s="30">
        <f t="shared" si="7"/>
        <v>0</v>
      </c>
      <c r="Y39" s="30">
        <f t="shared" si="7"/>
        <v>0</v>
      </c>
      <c r="Z39" s="30">
        <f t="shared" si="7"/>
        <v>0</v>
      </c>
      <c r="AA39" s="30">
        <f t="shared" si="7"/>
        <v>0</v>
      </c>
      <c r="AB39" s="39">
        <f t="shared" si="4"/>
        <v>0</v>
      </c>
    </row>
    <row r="40" spans="1:28">
      <c r="A40" s="168">
        <v>2152</v>
      </c>
      <c r="B40" s="2">
        <v>141320</v>
      </c>
      <c r="C40" s="2" t="s">
        <v>243</v>
      </c>
      <c r="E40" s="171">
        <v>0</v>
      </c>
      <c r="F40" s="171">
        <v>0</v>
      </c>
      <c r="G40" s="171"/>
      <c r="H40" s="171">
        <v>28198.046666666665</v>
      </c>
      <c r="I40" s="171">
        <v>538.20433333333244</v>
      </c>
      <c r="J40" s="171">
        <v>25237.166666666672</v>
      </c>
      <c r="K40" s="171"/>
      <c r="L40" s="171">
        <v>0</v>
      </c>
      <c r="M40" s="171">
        <v>0</v>
      </c>
      <c r="N40" s="171">
        <v>0</v>
      </c>
      <c r="O40" s="164">
        <v>0</v>
      </c>
      <c r="P40" s="164">
        <v>0</v>
      </c>
      <c r="Q40" s="172">
        <f t="shared" si="1"/>
        <v>53973.417666666668</v>
      </c>
      <c r="S40" s="30">
        <f t="shared" si="6"/>
        <v>0</v>
      </c>
      <c r="T40" s="30">
        <f t="shared" si="6"/>
        <v>53973.417666666668</v>
      </c>
      <c r="U40" s="30">
        <f t="shared" ref="U40:AA49" si="8">SUMIF($E$3:$O$3,U$6,$E40:$O40)</f>
        <v>0</v>
      </c>
      <c r="V40" s="30">
        <f t="shared" si="8"/>
        <v>0</v>
      </c>
      <c r="W40" s="30">
        <f t="shared" si="8"/>
        <v>0</v>
      </c>
      <c r="X40" s="30">
        <f t="shared" si="8"/>
        <v>0</v>
      </c>
      <c r="Y40" s="30">
        <f t="shared" si="8"/>
        <v>0</v>
      </c>
      <c r="Z40" s="30">
        <f t="shared" si="8"/>
        <v>0</v>
      </c>
      <c r="AA40" s="30">
        <f t="shared" si="8"/>
        <v>0</v>
      </c>
      <c r="AB40" s="39">
        <f t="shared" si="4"/>
        <v>0</v>
      </c>
    </row>
    <row r="41" spans="1:28">
      <c r="A41" s="168">
        <v>7013</v>
      </c>
      <c r="B41" s="2">
        <v>141252</v>
      </c>
      <c r="C41" s="2" t="s">
        <v>244</v>
      </c>
      <c r="E41" s="171">
        <v>288750</v>
      </c>
      <c r="F41" s="171">
        <v>0</v>
      </c>
      <c r="G41" s="171"/>
      <c r="H41" s="171">
        <v>0</v>
      </c>
      <c r="I41" s="171">
        <v>0</v>
      </c>
      <c r="J41" s="171">
        <v>0</v>
      </c>
      <c r="K41" s="171"/>
      <c r="L41" s="171">
        <v>0</v>
      </c>
      <c r="M41" s="171">
        <v>0</v>
      </c>
      <c r="N41" s="171">
        <v>0</v>
      </c>
      <c r="O41" s="164">
        <v>0</v>
      </c>
      <c r="P41" s="164">
        <v>0</v>
      </c>
      <c r="Q41" s="172">
        <f t="shared" si="1"/>
        <v>288750</v>
      </c>
      <c r="S41" s="30">
        <f t="shared" si="6"/>
        <v>0</v>
      </c>
      <c r="T41" s="30">
        <f t="shared" si="6"/>
        <v>288750</v>
      </c>
      <c r="U41" s="30">
        <f t="shared" si="8"/>
        <v>0</v>
      </c>
      <c r="V41" s="30">
        <f t="shared" si="8"/>
        <v>0</v>
      </c>
      <c r="W41" s="30">
        <f t="shared" si="8"/>
        <v>0</v>
      </c>
      <c r="X41" s="30">
        <f t="shared" si="8"/>
        <v>0</v>
      </c>
      <c r="Y41" s="30">
        <f t="shared" si="8"/>
        <v>0</v>
      </c>
      <c r="Z41" s="30">
        <f t="shared" si="8"/>
        <v>0</v>
      </c>
      <c r="AA41" s="30">
        <f t="shared" si="8"/>
        <v>0</v>
      </c>
      <c r="AB41" s="39">
        <f t="shared" si="4"/>
        <v>0</v>
      </c>
    </row>
    <row r="42" spans="1:28">
      <c r="A42" s="168">
        <v>2039</v>
      </c>
      <c r="B42" s="2">
        <v>143942</v>
      </c>
      <c r="C42" s="2" t="s">
        <v>245</v>
      </c>
      <c r="E42" s="171">
        <v>0</v>
      </c>
      <c r="F42" s="171">
        <v>0</v>
      </c>
      <c r="G42" s="171"/>
      <c r="H42" s="171">
        <v>48072.463333333333</v>
      </c>
      <c r="I42" s="171">
        <v>614.46333333333223</v>
      </c>
      <c r="J42" s="171">
        <v>42687.66333333333</v>
      </c>
      <c r="K42" s="171"/>
      <c r="L42" s="171">
        <v>0</v>
      </c>
      <c r="M42" s="171">
        <v>0</v>
      </c>
      <c r="N42" s="171">
        <v>0</v>
      </c>
      <c r="O42" s="164">
        <v>0</v>
      </c>
      <c r="P42" s="164">
        <v>0</v>
      </c>
      <c r="Q42" s="172">
        <f t="shared" si="1"/>
        <v>91374.59</v>
      </c>
      <c r="S42" s="30">
        <f t="shared" si="6"/>
        <v>0</v>
      </c>
      <c r="T42" s="30">
        <f t="shared" si="6"/>
        <v>91374.59</v>
      </c>
      <c r="U42" s="30">
        <f t="shared" si="8"/>
        <v>0</v>
      </c>
      <c r="V42" s="30">
        <f t="shared" si="8"/>
        <v>0</v>
      </c>
      <c r="W42" s="30">
        <f t="shared" si="8"/>
        <v>0</v>
      </c>
      <c r="X42" s="30">
        <f t="shared" si="8"/>
        <v>0</v>
      </c>
      <c r="Y42" s="30">
        <f t="shared" si="8"/>
        <v>0</v>
      </c>
      <c r="Z42" s="30">
        <f t="shared" si="8"/>
        <v>0</v>
      </c>
      <c r="AA42" s="30">
        <f t="shared" si="8"/>
        <v>0</v>
      </c>
      <c r="AB42" s="39">
        <f t="shared" si="4"/>
        <v>0</v>
      </c>
    </row>
    <row r="43" spans="1:28">
      <c r="A43" s="168">
        <v>2226</v>
      </c>
      <c r="B43" s="2">
        <v>143088</v>
      </c>
      <c r="C43" s="2" t="s">
        <v>246</v>
      </c>
      <c r="E43" s="171">
        <v>0</v>
      </c>
      <c r="F43" s="171">
        <v>0</v>
      </c>
      <c r="G43" s="171"/>
      <c r="H43" s="171">
        <v>33118.376666666671</v>
      </c>
      <c r="I43" s="171">
        <v>460.86999999999898</v>
      </c>
      <c r="J43" s="171">
        <v>11189.326666666666</v>
      </c>
      <c r="K43" s="171"/>
      <c r="L43" s="171">
        <v>0</v>
      </c>
      <c r="M43" s="171">
        <v>0</v>
      </c>
      <c r="N43" s="171">
        <v>0</v>
      </c>
      <c r="O43" s="164">
        <v>0</v>
      </c>
      <c r="P43" s="164">
        <v>0</v>
      </c>
      <c r="Q43" s="172">
        <f t="shared" si="1"/>
        <v>44768.573333333341</v>
      </c>
      <c r="S43" s="30">
        <f t="shared" si="6"/>
        <v>0</v>
      </c>
      <c r="T43" s="30">
        <f t="shared" si="6"/>
        <v>44768.573333333341</v>
      </c>
      <c r="U43" s="30">
        <f t="shared" si="8"/>
        <v>0</v>
      </c>
      <c r="V43" s="30">
        <f t="shared" si="8"/>
        <v>0</v>
      </c>
      <c r="W43" s="30">
        <f t="shared" si="8"/>
        <v>0</v>
      </c>
      <c r="X43" s="30">
        <f t="shared" si="8"/>
        <v>0</v>
      </c>
      <c r="Y43" s="30">
        <f t="shared" si="8"/>
        <v>0</v>
      </c>
      <c r="Z43" s="30">
        <f t="shared" si="8"/>
        <v>0</v>
      </c>
      <c r="AA43" s="30">
        <f t="shared" si="8"/>
        <v>0</v>
      </c>
      <c r="AB43" s="39">
        <f t="shared" si="4"/>
        <v>0</v>
      </c>
    </row>
    <row r="44" spans="1:28">
      <c r="A44" s="168">
        <v>2170</v>
      </c>
      <c r="B44" s="2">
        <v>143908</v>
      </c>
      <c r="C44" s="2" t="s">
        <v>247</v>
      </c>
      <c r="E44" s="171">
        <v>0</v>
      </c>
      <c r="F44" s="171">
        <v>0</v>
      </c>
      <c r="G44" s="171"/>
      <c r="H44" s="171">
        <v>42149.960000000006</v>
      </c>
      <c r="I44" s="171">
        <v>699.49733333333234</v>
      </c>
      <c r="J44" s="171">
        <v>72843.340000000011</v>
      </c>
      <c r="K44" s="171"/>
      <c r="L44" s="171">
        <v>0</v>
      </c>
      <c r="M44" s="171">
        <v>0</v>
      </c>
      <c r="N44" s="171">
        <v>0</v>
      </c>
      <c r="O44" s="164">
        <v>0</v>
      </c>
      <c r="P44" s="164">
        <v>0</v>
      </c>
      <c r="Q44" s="172">
        <f t="shared" si="1"/>
        <v>115692.79733333335</v>
      </c>
      <c r="S44" s="30">
        <f t="shared" si="6"/>
        <v>0</v>
      </c>
      <c r="T44" s="30">
        <f t="shared" si="6"/>
        <v>115692.79733333335</v>
      </c>
      <c r="U44" s="30">
        <f t="shared" si="8"/>
        <v>0</v>
      </c>
      <c r="V44" s="30">
        <f t="shared" si="8"/>
        <v>0</v>
      </c>
      <c r="W44" s="30">
        <f t="shared" si="8"/>
        <v>0</v>
      </c>
      <c r="X44" s="30">
        <f t="shared" si="8"/>
        <v>0</v>
      </c>
      <c r="Y44" s="30">
        <f t="shared" si="8"/>
        <v>0</v>
      </c>
      <c r="Z44" s="30">
        <f t="shared" si="8"/>
        <v>0</v>
      </c>
      <c r="AA44" s="30">
        <f t="shared" si="8"/>
        <v>0</v>
      </c>
      <c r="AB44" s="39">
        <f t="shared" si="4"/>
        <v>0</v>
      </c>
    </row>
    <row r="45" spans="1:28">
      <c r="A45" s="168">
        <v>2047</v>
      </c>
      <c r="B45" s="2">
        <v>138395</v>
      </c>
      <c r="C45" s="2" t="s">
        <v>248</v>
      </c>
      <c r="E45" s="171">
        <v>0</v>
      </c>
      <c r="F45" s="171">
        <v>0</v>
      </c>
      <c r="G45" s="171"/>
      <c r="H45" s="171">
        <v>39800.103333333333</v>
      </c>
      <c r="I45" s="171">
        <v>616.89333333333252</v>
      </c>
      <c r="J45" s="171">
        <v>47067.663333333345</v>
      </c>
      <c r="K45" s="171"/>
      <c r="L45" s="171">
        <v>0</v>
      </c>
      <c r="M45" s="171">
        <v>0</v>
      </c>
      <c r="N45" s="171">
        <v>0</v>
      </c>
      <c r="O45" s="164">
        <v>0</v>
      </c>
      <c r="P45" s="164">
        <v>0</v>
      </c>
      <c r="Q45" s="172">
        <f t="shared" si="1"/>
        <v>87484.66</v>
      </c>
      <c r="S45" s="30">
        <f t="shared" si="6"/>
        <v>0</v>
      </c>
      <c r="T45" s="30">
        <f t="shared" si="6"/>
        <v>87484.66</v>
      </c>
      <c r="U45" s="30">
        <f t="shared" si="8"/>
        <v>0</v>
      </c>
      <c r="V45" s="30">
        <f t="shared" si="8"/>
        <v>0</v>
      </c>
      <c r="W45" s="30">
        <f t="shared" si="8"/>
        <v>0</v>
      </c>
      <c r="X45" s="30">
        <f t="shared" si="8"/>
        <v>0</v>
      </c>
      <c r="Y45" s="30">
        <f t="shared" si="8"/>
        <v>0</v>
      </c>
      <c r="Z45" s="30">
        <f t="shared" si="8"/>
        <v>0</v>
      </c>
      <c r="AA45" s="30">
        <f t="shared" si="8"/>
        <v>0</v>
      </c>
      <c r="AB45" s="39">
        <f t="shared" si="4"/>
        <v>0</v>
      </c>
    </row>
    <row r="46" spans="1:28">
      <c r="A46" s="168">
        <v>2140</v>
      </c>
      <c r="B46" s="2">
        <v>140159</v>
      </c>
      <c r="C46" s="2" t="s">
        <v>249</v>
      </c>
      <c r="E46" s="171">
        <v>0</v>
      </c>
      <c r="F46" s="171">
        <v>0</v>
      </c>
      <c r="G46" s="171"/>
      <c r="H46" s="171">
        <v>54511.82166666667</v>
      </c>
      <c r="I46" s="171">
        <v>908.836666666665</v>
      </c>
      <c r="J46" s="171">
        <v>71905.009999999995</v>
      </c>
      <c r="K46" s="171"/>
      <c r="L46" s="171">
        <v>0</v>
      </c>
      <c r="M46" s="171">
        <v>0</v>
      </c>
      <c r="N46" s="171">
        <v>0</v>
      </c>
      <c r="O46" s="164">
        <v>0</v>
      </c>
      <c r="P46" s="164">
        <v>0</v>
      </c>
      <c r="Q46" s="172">
        <f t="shared" si="1"/>
        <v>127325.66833333333</v>
      </c>
      <c r="S46" s="30">
        <f t="shared" si="6"/>
        <v>0</v>
      </c>
      <c r="T46" s="30">
        <f t="shared" si="6"/>
        <v>127325.66833333333</v>
      </c>
      <c r="U46" s="30">
        <f t="shared" si="8"/>
        <v>0</v>
      </c>
      <c r="V46" s="30">
        <f t="shared" si="8"/>
        <v>0</v>
      </c>
      <c r="W46" s="30">
        <f t="shared" si="8"/>
        <v>0</v>
      </c>
      <c r="X46" s="30">
        <f t="shared" si="8"/>
        <v>0</v>
      </c>
      <c r="Y46" s="30">
        <f t="shared" si="8"/>
        <v>0</v>
      </c>
      <c r="Z46" s="30">
        <f t="shared" si="8"/>
        <v>0</v>
      </c>
      <c r="AA46" s="30">
        <f t="shared" si="8"/>
        <v>0</v>
      </c>
      <c r="AB46" s="39">
        <f t="shared" si="4"/>
        <v>0</v>
      </c>
    </row>
    <row r="47" spans="1:28">
      <c r="A47" s="168">
        <v>4042</v>
      </c>
      <c r="B47" s="2">
        <v>148589</v>
      </c>
      <c r="C47" s="2" t="s">
        <v>250</v>
      </c>
      <c r="E47" s="171">
        <v>0</v>
      </c>
      <c r="F47" s="171">
        <v>0</v>
      </c>
      <c r="G47" s="171"/>
      <c r="H47" s="171">
        <v>45925.11</v>
      </c>
      <c r="I47" s="171">
        <v>888.67666666666491</v>
      </c>
      <c r="J47" s="171">
        <v>68095</v>
      </c>
      <c r="K47" s="171"/>
      <c r="L47" s="171">
        <v>25198.15</v>
      </c>
      <c r="M47" s="171">
        <v>0</v>
      </c>
      <c r="N47" s="171">
        <v>0</v>
      </c>
      <c r="O47" s="164">
        <v>0</v>
      </c>
      <c r="P47" s="164">
        <v>0</v>
      </c>
      <c r="Q47" s="172">
        <f t="shared" si="1"/>
        <v>140106.93666666668</v>
      </c>
      <c r="S47" s="30">
        <f t="shared" si="6"/>
        <v>25198.15</v>
      </c>
      <c r="T47" s="30">
        <f t="shared" si="6"/>
        <v>114908.78666666667</v>
      </c>
      <c r="U47" s="30">
        <f t="shared" si="8"/>
        <v>0</v>
      </c>
      <c r="V47" s="30">
        <f t="shared" si="8"/>
        <v>0</v>
      </c>
      <c r="W47" s="30">
        <f t="shared" si="8"/>
        <v>0</v>
      </c>
      <c r="X47" s="30">
        <f t="shared" si="8"/>
        <v>0</v>
      </c>
      <c r="Y47" s="30">
        <f t="shared" si="8"/>
        <v>0</v>
      </c>
      <c r="Z47" s="30">
        <f t="shared" si="8"/>
        <v>0</v>
      </c>
      <c r="AA47" s="30">
        <f t="shared" si="8"/>
        <v>0</v>
      </c>
      <c r="AB47" s="39">
        <f t="shared" si="4"/>
        <v>0</v>
      </c>
    </row>
    <row r="48" spans="1:28">
      <c r="A48" s="168">
        <v>4039</v>
      </c>
      <c r="B48" s="2">
        <v>148187</v>
      </c>
      <c r="C48" s="2" t="s">
        <v>251</v>
      </c>
      <c r="E48" s="171">
        <v>0</v>
      </c>
      <c r="F48" s="171">
        <v>0</v>
      </c>
      <c r="G48" s="171"/>
      <c r="H48" s="171">
        <v>11399.85</v>
      </c>
      <c r="I48" s="171">
        <v>228.81666666666615</v>
      </c>
      <c r="J48" s="171">
        <v>9967.3333333333321</v>
      </c>
      <c r="K48" s="171"/>
      <c r="L48" s="171">
        <v>0</v>
      </c>
      <c r="M48" s="171">
        <v>0</v>
      </c>
      <c r="N48" s="171">
        <v>0</v>
      </c>
      <c r="O48" s="164">
        <v>0</v>
      </c>
      <c r="P48" s="164">
        <v>0</v>
      </c>
      <c r="Q48" s="172">
        <f t="shared" si="1"/>
        <v>21596</v>
      </c>
      <c r="S48" s="30">
        <f t="shared" si="6"/>
        <v>0</v>
      </c>
      <c r="T48" s="30">
        <f t="shared" si="6"/>
        <v>21596</v>
      </c>
      <c r="U48" s="30">
        <f t="shared" si="8"/>
        <v>0</v>
      </c>
      <c r="V48" s="30">
        <f t="shared" si="8"/>
        <v>0</v>
      </c>
      <c r="W48" s="30">
        <f t="shared" si="8"/>
        <v>0</v>
      </c>
      <c r="X48" s="30">
        <f t="shared" si="8"/>
        <v>0</v>
      </c>
      <c r="Y48" s="30">
        <f t="shared" si="8"/>
        <v>0</v>
      </c>
      <c r="Z48" s="30">
        <f t="shared" si="8"/>
        <v>0</v>
      </c>
      <c r="AA48" s="30">
        <f t="shared" si="8"/>
        <v>0</v>
      </c>
      <c r="AB48" s="39">
        <f t="shared" si="4"/>
        <v>0</v>
      </c>
    </row>
    <row r="49" spans="1:28">
      <c r="A49" s="168">
        <v>2194</v>
      </c>
      <c r="B49" s="2">
        <v>146385</v>
      </c>
      <c r="C49" s="2" t="s">
        <v>252</v>
      </c>
      <c r="E49" s="171">
        <v>0</v>
      </c>
      <c r="F49" s="171">
        <v>0</v>
      </c>
      <c r="G49" s="171"/>
      <c r="H49" s="171">
        <v>147926.3666666667</v>
      </c>
      <c r="I49" s="171">
        <v>2389.5566666666637</v>
      </c>
      <c r="J49" s="171">
        <v>146504.72333333333</v>
      </c>
      <c r="K49" s="171"/>
      <c r="L49" s="171">
        <v>0</v>
      </c>
      <c r="M49" s="171">
        <v>0</v>
      </c>
      <c r="N49" s="171">
        <v>0</v>
      </c>
      <c r="O49" s="164">
        <v>0</v>
      </c>
      <c r="P49" s="164">
        <v>0</v>
      </c>
      <c r="Q49" s="172">
        <f t="shared" si="1"/>
        <v>296820.64666666673</v>
      </c>
      <c r="S49" s="30">
        <f t="shared" si="6"/>
        <v>0</v>
      </c>
      <c r="T49" s="30">
        <f t="shared" si="6"/>
        <v>296820.64666666673</v>
      </c>
      <c r="U49" s="30">
        <f t="shared" si="8"/>
        <v>0</v>
      </c>
      <c r="V49" s="30">
        <f t="shared" si="8"/>
        <v>0</v>
      </c>
      <c r="W49" s="30">
        <f t="shared" si="8"/>
        <v>0</v>
      </c>
      <c r="X49" s="30">
        <f t="shared" si="8"/>
        <v>0</v>
      </c>
      <c r="Y49" s="30">
        <f t="shared" si="8"/>
        <v>0</v>
      </c>
      <c r="Z49" s="30">
        <f t="shared" si="8"/>
        <v>0</v>
      </c>
      <c r="AA49" s="30">
        <f t="shared" si="8"/>
        <v>0</v>
      </c>
      <c r="AB49" s="39">
        <f t="shared" si="4"/>
        <v>0</v>
      </c>
    </row>
    <row r="50" spans="1:28">
      <c r="A50" s="168">
        <v>4022</v>
      </c>
      <c r="B50" s="2">
        <v>142388</v>
      </c>
      <c r="C50" s="2" t="s">
        <v>253</v>
      </c>
      <c r="E50" s="171">
        <v>0</v>
      </c>
      <c r="F50" s="171">
        <v>0</v>
      </c>
      <c r="G50" s="171"/>
      <c r="H50" s="171">
        <v>23446.123333333329</v>
      </c>
      <c r="I50" s="171">
        <v>467.54333333333255</v>
      </c>
      <c r="J50" s="171">
        <v>31926.333333333332</v>
      </c>
      <c r="K50" s="171"/>
      <c r="L50" s="171">
        <v>0</v>
      </c>
      <c r="M50" s="171">
        <v>0</v>
      </c>
      <c r="N50" s="171">
        <v>31599.691666666673</v>
      </c>
      <c r="O50" s="164">
        <v>0</v>
      </c>
      <c r="P50" s="164">
        <v>0</v>
      </c>
      <c r="Q50" s="172">
        <f t="shared" si="1"/>
        <v>87439.691666666666</v>
      </c>
      <c r="S50" s="30">
        <f t="shared" ref="S50:T69" si="9">SUMIF($E$3:$P$3,S$6,$E50:$P50)</f>
        <v>31599.691666666673</v>
      </c>
      <c r="T50" s="30">
        <f t="shared" si="9"/>
        <v>55839.999999999993</v>
      </c>
      <c r="U50" s="30">
        <f t="shared" ref="U50:AA59" si="10">SUMIF($E$3:$O$3,U$6,$E50:$O50)</f>
        <v>0</v>
      </c>
      <c r="V50" s="30">
        <f t="shared" si="10"/>
        <v>0</v>
      </c>
      <c r="W50" s="30">
        <f t="shared" si="10"/>
        <v>0</v>
      </c>
      <c r="X50" s="30">
        <f t="shared" si="10"/>
        <v>0</v>
      </c>
      <c r="Y50" s="30">
        <f t="shared" si="10"/>
        <v>0</v>
      </c>
      <c r="Z50" s="30">
        <f t="shared" si="10"/>
        <v>0</v>
      </c>
      <c r="AA50" s="30">
        <f t="shared" si="10"/>
        <v>0</v>
      </c>
      <c r="AB50" s="39">
        <f t="shared" si="4"/>
        <v>0</v>
      </c>
    </row>
    <row r="51" spans="1:28">
      <c r="A51" s="168">
        <v>2052</v>
      </c>
      <c r="B51" s="2">
        <v>146696</v>
      </c>
      <c r="C51" s="2" t="s">
        <v>254</v>
      </c>
      <c r="E51" s="171">
        <v>0</v>
      </c>
      <c r="F51" s="171">
        <v>0</v>
      </c>
      <c r="G51" s="171"/>
      <c r="H51" s="171">
        <v>34316.21666666666</v>
      </c>
      <c r="I51" s="171">
        <v>634.12999999999874</v>
      </c>
      <c r="J51" s="171">
        <v>51015</v>
      </c>
      <c r="K51" s="171"/>
      <c r="L51" s="171">
        <v>0</v>
      </c>
      <c r="M51" s="171">
        <v>0</v>
      </c>
      <c r="N51" s="171">
        <v>0</v>
      </c>
      <c r="O51" s="164">
        <v>0</v>
      </c>
      <c r="P51" s="164">
        <v>0</v>
      </c>
      <c r="Q51" s="172">
        <f t="shared" si="1"/>
        <v>85965.34666666665</v>
      </c>
      <c r="S51" s="30">
        <f t="shared" si="9"/>
        <v>0</v>
      </c>
      <c r="T51" s="30">
        <f t="shared" si="9"/>
        <v>85965.34666666665</v>
      </c>
      <c r="U51" s="30">
        <f t="shared" si="10"/>
        <v>0</v>
      </c>
      <c r="V51" s="30">
        <f t="shared" si="10"/>
        <v>0</v>
      </c>
      <c r="W51" s="30">
        <f t="shared" si="10"/>
        <v>0</v>
      </c>
      <c r="X51" s="30">
        <f t="shared" si="10"/>
        <v>0</v>
      </c>
      <c r="Y51" s="30">
        <f t="shared" si="10"/>
        <v>0</v>
      </c>
      <c r="Z51" s="30">
        <f t="shared" si="10"/>
        <v>0</v>
      </c>
      <c r="AA51" s="30">
        <f t="shared" si="10"/>
        <v>0</v>
      </c>
      <c r="AB51" s="39">
        <f t="shared" si="4"/>
        <v>0</v>
      </c>
    </row>
    <row r="52" spans="1:28">
      <c r="A52" s="168">
        <v>2082</v>
      </c>
      <c r="B52" s="2">
        <v>143086</v>
      </c>
      <c r="C52" s="2" t="s">
        <v>255</v>
      </c>
      <c r="E52" s="171">
        <v>0</v>
      </c>
      <c r="F52" s="171">
        <v>0</v>
      </c>
      <c r="G52" s="171"/>
      <c r="H52" s="171">
        <v>17727.149999999998</v>
      </c>
      <c r="I52" s="171">
        <v>352.51666666666591</v>
      </c>
      <c r="J52" s="171">
        <v>27704.996666666666</v>
      </c>
      <c r="K52" s="171"/>
      <c r="L52" s="171">
        <v>0</v>
      </c>
      <c r="M52" s="171">
        <v>0</v>
      </c>
      <c r="N52" s="171">
        <v>0</v>
      </c>
      <c r="O52" s="164">
        <v>0</v>
      </c>
      <c r="P52" s="164">
        <v>0</v>
      </c>
      <c r="Q52" s="172">
        <f t="shared" si="1"/>
        <v>45784.66333333333</v>
      </c>
      <c r="S52" s="30">
        <f t="shared" si="9"/>
        <v>0</v>
      </c>
      <c r="T52" s="30">
        <f t="shared" si="9"/>
        <v>45784.66333333333</v>
      </c>
      <c r="U52" s="30">
        <f t="shared" si="10"/>
        <v>0</v>
      </c>
      <c r="V52" s="30">
        <f t="shared" si="10"/>
        <v>0</v>
      </c>
      <c r="W52" s="30">
        <f t="shared" si="10"/>
        <v>0</v>
      </c>
      <c r="X52" s="30">
        <f t="shared" si="10"/>
        <v>0</v>
      </c>
      <c r="Y52" s="30">
        <f t="shared" si="10"/>
        <v>0</v>
      </c>
      <c r="Z52" s="30">
        <f t="shared" si="10"/>
        <v>0</v>
      </c>
      <c r="AA52" s="30">
        <f t="shared" si="10"/>
        <v>0</v>
      </c>
      <c r="AB52" s="39">
        <f t="shared" si="4"/>
        <v>0</v>
      </c>
    </row>
    <row r="53" spans="1:28">
      <c r="A53" s="168">
        <v>2299</v>
      </c>
      <c r="B53" s="2">
        <v>140706</v>
      </c>
      <c r="C53" s="2" t="s">
        <v>256</v>
      </c>
      <c r="E53" s="171">
        <v>0</v>
      </c>
      <c r="F53" s="171">
        <v>0</v>
      </c>
      <c r="G53" s="171"/>
      <c r="H53" s="171">
        <v>36697.283333333333</v>
      </c>
      <c r="I53" s="171">
        <v>562.04999999999882</v>
      </c>
      <c r="J53" s="171">
        <v>60757.669999999991</v>
      </c>
      <c r="K53" s="171"/>
      <c r="L53" s="171">
        <v>0</v>
      </c>
      <c r="M53" s="171">
        <v>0</v>
      </c>
      <c r="N53" s="171">
        <v>0</v>
      </c>
      <c r="O53" s="164">
        <v>0</v>
      </c>
      <c r="P53" s="164">
        <v>0</v>
      </c>
      <c r="Q53" s="172">
        <f t="shared" si="1"/>
        <v>98017.003333333327</v>
      </c>
      <c r="S53" s="30">
        <f t="shared" si="9"/>
        <v>0</v>
      </c>
      <c r="T53" s="30">
        <f t="shared" si="9"/>
        <v>98017.003333333327</v>
      </c>
      <c r="U53" s="30">
        <f t="shared" si="10"/>
        <v>0</v>
      </c>
      <c r="V53" s="30">
        <f t="shared" si="10"/>
        <v>0</v>
      </c>
      <c r="W53" s="30">
        <f t="shared" si="10"/>
        <v>0</v>
      </c>
      <c r="X53" s="30">
        <f t="shared" si="10"/>
        <v>0</v>
      </c>
      <c r="Y53" s="30">
        <f t="shared" si="10"/>
        <v>0</v>
      </c>
      <c r="Z53" s="30">
        <f t="shared" si="10"/>
        <v>0</v>
      </c>
      <c r="AA53" s="30">
        <f t="shared" si="10"/>
        <v>0</v>
      </c>
      <c r="AB53" s="39">
        <f t="shared" si="4"/>
        <v>0</v>
      </c>
    </row>
    <row r="54" spans="1:28">
      <c r="A54" s="168">
        <v>2191</v>
      </c>
      <c r="B54" s="2">
        <v>151017</v>
      </c>
      <c r="C54" s="2" t="s">
        <v>149</v>
      </c>
      <c r="E54" s="171">
        <v>0</v>
      </c>
      <c r="F54" s="171">
        <v>0</v>
      </c>
      <c r="G54" s="171"/>
      <c r="H54" s="171">
        <v>68293.240000000005</v>
      </c>
      <c r="I54" s="171">
        <v>1100.9666666666658</v>
      </c>
      <c r="J54" s="171">
        <v>48584</v>
      </c>
      <c r="K54" s="171"/>
      <c r="L54" s="171">
        <v>0</v>
      </c>
      <c r="M54" s="171">
        <v>0</v>
      </c>
      <c r="N54" s="171">
        <v>0</v>
      </c>
      <c r="O54" s="164">
        <v>0</v>
      </c>
      <c r="P54" s="164">
        <v>0</v>
      </c>
      <c r="Q54" s="172">
        <f t="shared" si="1"/>
        <v>117978.20666666667</v>
      </c>
      <c r="S54" s="30">
        <f t="shared" si="9"/>
        <v>0</v>
      </c>
      <c r="T54" s="30">
        <f t="shared" si="9"/>
        <v>117978.20666666667</v>
      </c>
      <c r="U54" s="30">
        <f t="shared" si="10"/>
        <v>0</v>
      </c>
      <c r="V54" s="30">
        <f t="shared" si="10"/>
        <v>0</v>
      </c>
      <c r="W54" s="30">
        <f t="shared" si="10"/>
        <v>0</v>
      </c>
      <c r="X54" s="30">
        <f t="shared" si="10"/>
        <v>0</v>
      </c>
      <c r="Y54" s="30">
        <f t="shared" si="10"/>
        <v>0</v>
      </c>
      <c r="Z54" s="30">
        <f t="shared" si="10"/>
        <v>0</v>
      </c>
      <c r="AA54" s="30">
        <f t="shared" si="10"/>
        <v>0</v>
      </c>
      <c r="AB54" s="39">
        <f t="shared" si="4"/>
        <v>0</v>
      </c>
    </row>
    <row r="55" spans="1:28">
      <c r="A55" s="168">
        <v>2060</v>
      </c>
      <c r="B55" s="2">
        <v>143563</v>
      </c>
      <c r="C55" s="2" t="s">
        <v>257</v>
      </c>
      <c r="E55" s="171">
        <v>0</v>
      </c>
      <c r="F55" s="171">
        <v>0</v>
      </c>
      <c r="G55" s="171"/>
      <c r="H55" s="171">
        <v>31071.096666666665</v>
      </c>
      <c r="I55" s="171">
        <v>423.46333333333246</v>
      </c>
      <c r="J55" s="171">
        <v>35667.003333333334</v>
      </c>
      <c r="K55" s="171"/>
      <c r="L55" s="171">
        <v>0</v>
      </c>
      <c r="M55" s="171">
        <v>0</v>
      </c>
      <c r="N55" s="171">
        <v>0</v>
      </c>
      <c r="O55" s="164">
        <v>0</v>
      </c>
      <c r="P55" s="164">
        <v>0</v>
      </c>
      <c r="Q55" s="172">
        <f t="shared" si="1"/>
        <v>67161.563333333324</v>
      </c>
      <c r="S55" s="30">
        <f t="shared" si="9"/>
        <v>0</v>
      </c>
      <c r="T55" s="30">
        <f t="shared" si="9"/>
        <v>67161.563333333324</v>
      </c>
      <c r="U55" s="30">
        <f t="shared" si="10"/>
        <v>0</v>
      </c>
      <c r="V55" s="30">
        <f t="shared" si="10"/>
        <v>0</v>
      </c>
      <c r="W55" s="30">
        <f t="shared" si="10"/>
        <v>0</v>
      </c>
      <c r="X55" s="30">
        <f t="shared" si="10"/>
        <v>0</v>
      </c>
      <c r="Y55" s="30">
        <f t="shared" si="10"/>
        <v>0</v>
      </c>
      <c r="Z55" s="30">
        <f t="shared" si="10"/>
        <v>0</v>
      </c>
      <c r="AA55" s="30">
        <f t="shared" si="10"/>
        <v>0</v>
      </c>
      <c r="AB55" s="39">
        <f t="shared" si="4"/>
        <v>0</v>
      </c>
    </row>
    <row r="56" spans="1:28">
      <c r="A56" s="168">
        <v>4129</v>
      </c>
      <c r="B56" s="2">
        <v>143438</v>
      </c>
      <c r="C56" s="2" t="s">
        <v>258</v>
      </c>
      <c r="E56" s="171">
        <v>0</v>
      </c>
      <c r="F56" s="171">
        <v>0</v>
      </c>
      <c r="G56" s="171"/>
      <c r="H56" s="171">
        <v>69486.07166666667</v>
      </c>
      <c r="I56" s="171">
        <v>938.86999999999807</v>
      </c>
      <c r="J56" s="171">
        <v>72956.496666666673</v>
      </c>
      <c r="K56" s="171"/>
      <c r="L56" s="171">
        <v>31497.6875</v>
      </c>
      <c r="M56" s="171">
        <v>0</v>
      </c>
      <c r="N56" s="171">
        <v>0</v>
      </c>
      <c r="O56" s="164">
        <v>0</v>
      </c>
      <c r="P56" s="164">
        <v>0</v>
      </c>
      <c r="Q56" s="172">
        <f t="shared" si="1"/>
        <v>174879.12583333335</v>
      </c>
      <c r="S56" s="30">
        <f t="shared" si="9"/>
        <v>31497.6875</v>
      </c>
      <c r="T56" s="30">
        <f t="shared" si="9"/>
        <v>143381.43833333335</v>
      </c>
      <c r="U56" s="30">
        <f t="shared" si="10"/>
        <v>0</v>
      </c>
      <c r="V56" s="30">
        <f t="shared" si="10"/>
        <v>0</v>
      </c>
      <c r="W56" s="30">
        <f t="shared" si="10"/>
        <v>0</v>
      </c>
      <c r="X56" s="30">
        <f t="shared" si="10"/>
        <v>0</v>
      </c>
      <c r="Y56" s="30">
        <f t="shared" si="10"/>
        <v>0</v>
      </c>
      <c r="Z56" s="30">
        <f t="shared" si="10"/>
        <v>0</v>
      </c>
      <c r="AA56" s="30">
        <f t="shared" si="10"/>
        <v>0</v>
      </c>
      <c r="AB56" s="39">
        <f t="shared" si="4"/>
        <v>0</v>
      </c>
    </row>
    <row r="57" spans="1:28">
      <c r="A57" s="168">
        <v>2219</v>
      </c>
      <c r="B57" s="2">
        <v>150709</v>
      </c>
      <c r="C57" s="2" t="s">
        <v>150</v>
      </c>
      <c r="E57" s="171">
        <v>0</v>
      </c>
      <c r="F57" s="171">
        <v>0</v>
      </c>
      <c r="G57" s="171"/>
      <c r="H57" s="171">
        <v>4342.8</v>
      </c>
      <c r="I57" s="171">
        <v>87.199999999999818</v>
      </c>
      <c r="J57" s="171">
        <v>20329.333333333332</v>
      </c>
      <c r="K57" s="171"/>
      <c r="L57" s="171">
        <v>0</v>
      </c>
      <c r="M57" s="171">
        <v>0</v>
      </c>
      <c r="N57" s="171">
        <v>0</v>
      </c>
      <c r="O57" s="164">
        <v>0</v>
      </c>
      <c r="P57" s="164">
        <v>0</v>
      </c>
      <c r="Q57" s="172">
        <f t="shared" si="1"/>
        <v>24759.333333333332</v>
      </c>
      <c r="S57" s="30">
        <f t="shared" si="9"/>
        <v>0</v>
      </c>
      <c r="T57" s="30">
        <f t="shared" si="9"/>
        <v>24759.333333333332</v>
      </c>
      <c r="U57" s="30">
        <f t="shared" si="10"/>
        <v>0</v>
      </c>
      <c r="V57" s="30">
        <f t="shared" si="10"/>
        <v>0</v>
      </c>
      <c r="W57" s="30">
        <f t="shared" si="10"/>
        <v>0</v>
      </c>
      <c r="X57" s="30">
        <f t="shared" si="10"/>
        <v>0</v>
      </c>
      <c r="Y57" s="30">
        <f t="shared" si="10"/>
        <v>0</v>
      </c>
      <c r="Z57" s="30">
        <f t="shared" si="10"/>
        <v>0</v>
      </c>
      <c r="AA57" s="30">
        <f t="shared" si="10"/>
        <v>0</v>
      </c>
      <c r="AB57" s="39">
        <f t="shared" si="4"/>
        <v>0</v>
      </c>
    </row>
    <row r="58" spans="1:28">
      <c r="A58" s="168">
        <v>2065</v>
      </c>
      <c r="B58" s="2">
        <v>138218</v>
      </c>
      <c r="C58" s="2" t="s">
        <v>259</v>
      </c>
      <c r="E58" s="171">
        <v>0</v>
      </c>
      <c r="F58" s="171">
        <v>0</v>
      </c>
      <c r="G58" s="171"/>
      <c r="H58" s="171">
        <v>51767.793333333335</v>
      </c>
      <c r="I58" s="171">
        <v>802.31666666666592</v>
      </c>
      <c r="J58" s="171">
        <v>62737.336666666662</v>
      </c>
      <c r="K58" s="171"/>
      <c r="L58" s="171">
        <v>0</v>
      </c>
      <c r="M58" s="171">
        <v>0</v>
      </c>
      <c r="N58" s="171">
        <v>0</v>
      </c>
      <c r="O58" s="164">
        <v>0</v>
      </c>
      <c r="P58" s="164">
        <v>0</v>
      </c>
      <c r="Q58" s="172">
        <f t="shared" si="1"/>
        <v>115307.44666666666</v>
      </c>
      <c r="S58" s="30">
        <f t="shared" si="9"/>
        <v>0</v>
      </c>
      <c r="T58" s="30">
        <f t="shared" si="9"/>
        <v>115307.44666666666</v>
      </c>
      <c r="U58" s="30">
        <f t="shared" si="10"/>
        <v>0</v>
      </c>
      <c r="V58" s="30">
        <f t="shared" si="10"/>
        <v>0</v>
      </c>
      <c r="W58" s="30">
        <f t="shared" si="10"/>
        <v>0</v>
      </c>
      <c r="X58" s="30">
        <f t="shared" si="10"/>
        <v>0</v>
      </c>
      <c r="Y58" s="30">
        <f t="shared" si="10"/>
        <v>0</v>
      </c>
      <c r="Z58" s="30">
        <f t="shared" si="10"/>
        <v>0</v>
      </c>
      <c r="AA58" s="30">
        <f t="shared" si="10"/>
        <v>0</v>
      </c>
      <c r="AB58" s="39">
        <f t="shared" si="4"/>
        <v>0</v>
      </c>
    </row>
    <row r="59" spans="1:28">
      <c r="A59" s="168">
        <v>6905</v>
      </c>
      <c r="B59" s="2">
        <v>135907</v>
      </c>
      <c r="C59" s="2" t="s">
        <v>260</v>
      </c>
      <c r="E59" s="171">
        <v>0</v>
      </c>
      <c r="F59" s="171">
        <v>0</v>
      </c>
      <c r="G59" s="171"/>
      <c r="H59" s="171">
        <v>7014.91</v>
      </c>
      <c r="I59" s="171">
        <v>182.69000000000005</v>
      </c>
      <c r="J59" s="171">
        <v>26471.000000000004</v>
      </c>
      <c r="K59" s="171"/>
      <c r="L59" s="171">
        <v>62995.375</v>
      </c>
      <c r="M59" s="171">
        <v>0</v>
      </c>
      <c r="N59" s="171">
        <v>0</v>
      </c>
      <c r="O59" s="164">
        <v>0</v>
      </c>
      <c r="P59" s="164">
        <v>0</v>
      </c>
      <c r="Q59" s="172">
        <f t="shared" si="1"/>
        <v>96663.975000000006</v>
      </c>
      <c r="S59" s="30">
        <f t="shared" si="9"/>
        <v>62995.375</v>
      </c>
      <c r="T59" s="30">
        <f t="shared" si="9"/>
        <v>33668.600000000006</v>
      </c>
      <c r="U59" s="30">
        <f t="shared" si="10"/>
        <v>0</v>
      </c>
      <c r="V59" s="30">
        <f t="shared" si="10"/>
        <v>0</v>
      </c>
      <c r="W59" s="30">
        <f t="shared" si="10"/>
        <v>0</v>
      </c>
      <c r="X59" s="30">
        <f t="shared" si="10"/>
        <v>0</v>
      </c>
      <c r="Y59" s="30">
        <f t="shared" si="10"/>
        <v>0</v>
      </c>
      <c r="Z59" s="30">
        <f t="shared" si="10"/>
        <v>0</v>
      </c>
      <c r="AA59" s="30">
        <f t="shared" si="10"/>
        <v>0</v>
      </c>
      <c r="AB59" s="39">
        <f t="shared" si="4"/>
        <v>0</v>
      </c>
    </row>
    <row r="60" spans="1:28">
      <c r="A60" s="168">
        <v>2048</v>
      </c>
      <c r="B60" s="2">
        <v>138396</v>
      </c>
      <c r="C60" s="2" t="s">
        <v>261</v>
      </c>
      <c r="E60" s="171">
        <v>0</v>
      </c>
      <c r="F60" s="171">
        <v>0</v>
      </c>
      <c r="G60" s="171"/>
      <c r="H60" s="171">
        <v>44911.953333333331</v>
      </c>
      <c r="I60" s="171">
        <v>762.91333333333205</v>
      </c>
      <c r="J60" s="171">
        <v>48967</v>
      </c>
      <c r="K60" s="171"/>
      <c r="L60" s="171">
        <v>0</v>
      </c>
      <c r="M60" s="171">
        <v>0</v>
      </c>
      <c r="N60" s="171">
        <v>0</v>
      </c>
      <c r="O60" s="164">
        <v>0</v>
      </c>
      <c r="P60" s="164">
        <v>0</v>
      </c>
      <c r="Q60" s="172">
        <f t="shared" si="1"/>
        <v>94641.866666666669</v>
      </c>
      <c r="S60" s="30">
        <f t="shared" si="9"/>
        <v>0</v>
      </c>
      <c r="T60" s="30">
        <f t="shared" si="9"/>
        <v>94641.866666666669</v>
      </c>
      <c r="U60" s="30">
        <f t="shared" ref="U60:AA69" si="11">SUMIF($E$3:$O$3,U$6,$E60:$O60)</f>
        <v>0</v>
      </c>
      <c r="V60" s="30">
        <f t="shared" si="11"/>
        <v>0</v>
      </c>
      <c r="W60" s="30">
        <f t="shared" si="11"/>
        <v>0</v>
      </c>
      <c r="X60" s="30">
        <f t="shared" si="11"/>
        <v>0</v>
      </c>
      <c r="Y60" s="30">
        <f t="shared" si="11"/>
        <v>0</v>
      </c>
      <c r="Z60" s="30">
        <f t="shared" si="11"/>
        <v>0</v>
      </c>
      <c r="AA60" s="30">
        <f t="shared" si="11"/>
        <v>0</v>
      </c>
      <c r="AB60" s="39">
        <f t="shared" si="4"/>
        <v>0</v>
      </c>
    </row>
    <row r="61" spans="1:28">
      <c r="A61" s="168">
        <v>6909</v>
      </c>
      <c r="B61" s="2">
        <v>136032</v>
      </c>
      <c r="C61" s="2" t="s">
        <v>262</v>
      </c>
      <c r="E61" s="171">
        <v>0</v>
      </c>
      <c r="F61" s="171">
        <v>0</v>
      </c>
      <c r="G61" s="171"/>
      <c r="H61" s="171">
        <v>9786.366666666665</v>
      </c>
      <c r="I61" s="171">
        <v>108.83333333333303</v>
      </c>
      <c r="J61" s="171">
        <v>36344.993333333339</v>
      </c>
      <c r="K61" s="171"/>
      <c r="L61" s="171">
        <v>125990.75</v>
      </c>
      <c r="M61" s="171">
        <v>0</v>
      </c>
      <c r="N61" s="171">
        <v>189598.15000000002</v>
      </c>
      <c r="O61" s="164">
        <v>0</v>
      </c>
      <c r="P61" s="164">
        <v>0</v>
      </c>
      <c r="Q61" s="172">
        <f t="shared" si="1"/>
        <v>361829.09333333338</v>
      </c>
      <c r="S61" s="30">
        <f t="shared" si="9"/>
        <v>315588.90000000002</v>
      </c>
      <c r="T61" s="30">
        <f t="shared" si="9"/>
        <v>46240.193333333336</v>
      </c>
      <c r="U61" s="30">
        <f t="shared" si="11"/>
        <v>0</v>
      </c>
      <c r="V61" s="30">
        <f t="shared" si="11"/>
        <v>0</v>
      </c>
      <c r="W61" s="30">
        <f t="shared" si="11"/>
        <v>0</v>
      </c>
      <c r="X61" s="30">
        <f t="shared" si="11"/>
        <v>0</v>
      </c>
      <c r="Y61" s="30">
        <f t="shared" si="11"/>
        <v>0</v>
      </c>
      <c r="Z61" s="30">
        <f t="shared" si="11"/>
        <v>0</v>
      </c>
      <c r="AA61" s="30">
        <f t="shared" si="11"/>
        <v>0</v>
      </c>
      <c r="AB61" s="39">
        <f t="shared" si="4"/>
        <v>0</v>
      </c>
    </row>
    <row r="62" spans="1:28">
      <c r="A62" s="168">
        <v>6907</v>
      </c>
      <c r="B62" s="2">
        <v>135911</v>
      </c>
      <c r="C62" s="2" t="s">
        <v>263</v>
      </c>
      <c r="E62" s="171">
        <v>0</v>
      </c>
      <c r="F62" s="171">
        <v>0</v>
      </c>
      <c r="G62" s="171"/>
      <c r="H62" s="171">
        <v>35799.213333333333</v>
      </c>
      <c r="I62" s="171">
        <v>714.78666666666595</v>
      </c>
      <c r="J62" s="171">
        <v>51664.333333333336</v>
      </c>
      <c r="K62" s="171"/>
      <c r="L62" s="171">
        <v>4199.6916666666666</v>
      </c>
      <c r="M62" s="171">
        <v>0</v>
      </c>
      <c r="N62" s="171">
        <v>0</v>
      </c>
      <c r="O62" s="164">
        <v>0</v>
      </c>
      <c r="P62" s="164">
        <v>0</v>
      </c>
      <c r="Q62" s="172">
        <f t="shared" si="1"/>
        <v>92378.025000000009</v>
      </c>
      <c r="S62" s="30">
        <f t="shared" si="9"/>
        <v>4199.6916666666666</v>
      </c>
      <c r="T62" s="30">
        <f t="shared" si="9"/>
        <v>88178.333333333343</v>
      </c>
      <c r="U62" s="30">
        <f t="shared" si="11"/>
        <v>0</v>
      </c>
      <c r="V62" s="30">
        <f t="shared" si="11"/>
        <v>0</v>
      </c>
      <c r="W62" s="30">
        <f t="shared" si="11"/>
        <v>0</v>
      </c>
      <c r="X62" s="30">
        <f t="shared" si="11"/>
        <v>0</v>
      </c>
      <c r="Y62" s="30">
        <f t="shared" si="11"/>
        <v>0</v>
      </c>
      <c r="Z62" s="30">
        <f t="shared" si="11"/>
        <v>0</v>
      </c>
      <c r="AA62" s="30">
        <f t="shared" si="11"/>
        <v>0</v>
      </c>
      <c r="AB62" s="39">
        <f t="shared" si="4"/>
        <v>0</v>
      </c>
    </row>
    <row r="63" spans="1:28">
      <c r="A63" s="168">
        <v>1105</v>
      </c>
      <c r="B63" s="2">
        <v>138775</v>
      </c>
      <c r="C63" s="2" t="s">
        <v>264</v>
      </c>
      <c r="E63" s="171">
        <v>0</v>
      </c>
      <c r="F63" s="171">
        <v>0</v>
      </c>
      <c r="G63" s="171"/>
      <c r="H63" s="171">
        <v>0</v>
      </c>
      <c r="I63" s="171">
        <v>0</v>
      </c>
      <c r="J63" s="171">
        <v>0</v>
      </c>
      <c r="K63" s="171"/>
      <c r="L63" s="171">
        <v>0</v>
      </c>
      <c r="M63" s="171">
        <v>0</v>
      </c>
      <c r="N63" s="171">
        <v>0</v>
      </c>
      <c r="O63" s="164">
        <v>0</v>
      </c>
      <c r="P63" s="164">
        <v>0</v>
      </c>
      <c r="Q63" s="172">
        <f t="shared" si="1"/>
        <v>0</v>
      </c>
      <c r="S63" s="30">
        <f t="shared" si="9"/>
        <v>0</v>
      </c>
      <c r="T63" s="30">
        <f t="shared" si="9"/>
        <v>0</v>
      </c>
      <c r="U63" s="30">
        <f t="shared" si="11"/>
        <v>0</v>
      </c>
      <c r="V63" s="30">
        <f t="shared" si="11"/>
        <v>0</v>
      </c>
      <c r="W63" s="30">
        <f t="shared" si="11"/>
        <v>0</v>
      </c>
      <c r="X63" s="30">
        <f t="shared" si="11"/>
        <v>0</v>
      </c>
      <c r="Y63" s="30">
        <f t="shared" si="11"/>
        <v>0</v>
      </c>
      <c r="Z63" s="30">
        <f t="shared" si="11"/>
        <v>0</v>
      </c>
      <c r="AA63" s="30">
        <f t="shared" si="11"/>
        <v>0</v>
      </c>
      <c r="AB63" s="39">
        <f t="shared" si="4"/>
        <v>0</v>
      </c>
    </row>
    <row r="64" spans="1:28">
      <c r="A64" s="168">
        <v>1110</v>
      </c>
      <c r="B64" s="2">
        <v>141739</v>
      </c>
      <c r="C64" s="2" t="s">
        <v>265</v>
      </c>
      <c r="E64" s="171">
        <v>0</v>
      </c>
      <c r="F64" s="171">
        <v>0</v>
      </c>
      <c r="G64" s="171"/>
      <c r="H64" s="171">
        <v>0</v>
      </c>
      <c r="I64" s="171">
        <v>0</v>
      </c>
      <c r="J64" s="171">
        <v>0</v>
      </c>
      <c r="K64" s="171"/>
      <c r="L64" s="171">
        <v>0</v>
      </c>
      <c r="M64" s="171">
        <v>0</v>
      </c>
      <c r="N64" s="171">
        <v>0</v>
      </c>
      <c r="O64" s="164">
        <v>0</v>
      </c>
      <c r="P64" s="164">
        <v>0</v>
      </c>
      <c r="Q64" s="172">
        <f t="shared" si="1"/>
        <v>0</v>
      </c>
      <c r="S64" s="30">
        <f t="shared" si="9"/>
        <v>0</v>
      </c>
      <c r="T64" s="30">
        <f t="shared" si="9"/>
        <v>0</v>
      </c>
      <c r="U64" s="30">
        <f t="shared" si="11"/>
        <v>0</v>
      </c>
      <c r="V64" s="30">
        <f t="shared" si="11"/>
        <v>0</v>
      </c>
      <c r="W64" s="30">
        <f t="shared" si="11"/>
        <v>0</v>
      </c>
      <c r="X64" s="30">
        <f t="shared" si="11"/>
        <v>0</v>
      </c>
      <c r="Y64" s="30">
        <f t="shared" si="11"/>
        <v>0</v>
      </c>
      <c r="Z64" s="30">
        <f t="shared" si="11"/>
        <v>0</v>
      </c>
      <c r="AA64" s="30">
        <f t="shared" si="11"/>
        <v>0</v>
      </c>
      <c r="AB64" s="39">
        <f t="shared" si="4"/>
        <v>0</v>
      </c>
    </row>
    <row r="65" spans="1:28">
      <c r="A65" s="168">
        <v>4032</v>
      </c>
      <c r="B65" s="2">
        <v>145878</v>
      </c>
      <c r="C65" s="2" t="s">
        <v>266</v>
      </c>
      <c r="E65" s="171">
        <v>0</v>
      </c>
      <c r="F65" s="171">
        <v>0</v>
      </c>
      <c r="G65" s="171"/>
      <c r="H65" s="171">
        <v>52788.64166666667</v>
      </c>
      <c r="I65" s="171">
        <v>959.44906666666543</v>
      </c>
      <c r="J65" s="171">
        <v>64706.999999999985</v>
      </c>
      <c r="K65" s="171"/>
      <c r="L65" s="171">
        <v>0</v>
      </c>
      <c r="M65" s="171">
        <v>0</v>
      </c>
      <c r="N65" s="171">
        <v>0</v>
      </c>
      <c r="O65" s="164">
        <v>0</v>
      </c>
      <c r="P65" s="164">
        <v>0</v>
      </c>
      <c r="Q65" s="172">
        <f t="shared" si="1"/>
        <v>118455.09073333332</v>
      </c>
      <c r="S65" s="30">
        <f t="shared" si="9"/>
        <v>0</v>
      </c>
      <c r="T65" s="30">
        <f t="shared" si="9"/>
        <v>118455.09073333332</v>
      </c>
      <c r="U65" s="30">
        <f t="shared" si="11"/>
        <v>0</v>
      </c>
      <c r="V65" s="30">
        <f t="shared" si="11"/>
        <v>0</v>
      </c>
      <c r="W65" s="30">
        <f t="shared" si="11"/>
        <v>0</v>
      </c>
      <c r="X65" s="30">
        <f t="shared" si="11"/>
        <v>0</v>
      </c>
      <c r="Y65" s="30">
        <f t="shared" si="11"/>
        <v>0</v>
      </c>
      <c r="Z65" s="30">
        <f t="shared" si="11"/>
        <v>0</v>
      </c>
      <c r="AA65" s="30">
        <f t="shared" si="11"/>
        <v>0</v>
      </c>
      <c r="AB65" s="39">
        <f t="shared" si="4"/>
        <v>0</v>
      </c>
    </row>
    <row r="66" spans="1:28">
      <c r="A66" s="168">
        <v>4021</v>
      </c>
      <c r="B66" s="2">
        <v>141969</v>
      </c>
      <c r="C66" s="2" t="s">
        <v>267</v>
      </c>
      <c r="E66" s="171">
        <v>0</v>
      </c>
      <c r="F66" s="171">
        <v>0</v>
      </c>
      <c r="G66" s="171"/>
      <c r="H66" s="171">
        <v>24568.25</v>
      </c>
      <c r="I66" s="171">
        <v>490.41666666666561</v>
      </c>
      <c r="J66" s="171">
        <v>21738</v>
      </c>
      <c r="K66" s="171"/>
      <c r="L66" s="171">
        <v>0</v>
      </c>
      <c r="M66" s="171">
        <v>0</v>
      </c>
      <c r="N66" s="171">
        <v>0</v>
      </c>
      <c r="O66" s="164">
        <v>0</v>
      </c>
      <c r="P66" s="164">
        <v>0</v>
      </c>
      <c r="Q66" s="172">
        <f t="shared" si="1"/>
        <v>46796.666666666664</v>
      </c>
      <c r="S66" s="30">
        <f t="shared" si="9"/>
        <v>0</v>
      </c>
      <c r="T66" s="30">
        <f t="shared" si="9"/>
        <v>46796.666666666664</v>
      </c>
      <c r="U66" s="30">
        <f t="shared" si="11"/>
        <v>0</v>
      </c>
      <c r="V66" s="30">
        <f t="shared" si="11"/>
        <v>0</v>
      </c>
      <c r="W66" s="30">
        <f t="shared" si="11"/>
        <v>0</v>
      </c>
      <c r="X66" s="30">
        <f t="shared" si="11"/>
        <v>0</v>
      </c>
      <c r="Y66" s="30">
        <f t="shared" si="11"/>
        <v>0</v>
      </c>
      <c r="Z66" s="30">
        <f t="shared" si="11"/>
        <v>0</v>
      </c>
      <c r="AA66" s="30">
        <f t="shared" si="11"/>
        <v>0</v>
      </c>
      <c r="AB66" s="39">
        <f t="shared" si="4"/>
        <v>0</v>
      </c>
    </row>
    <row r="67" spans="1:28">
      <c r="A67" s="168">
        <v>4035</v>
      </c>
      <c r="B67" s="2">
        <v>147201</v>
      </c>
      <c r="C67" s="2" t="s">
        <v>268</v>
      </c>
      <c r="E67" s="171">
        <v>0</v>
      </c>
      <c r="F67" s="171">
        <v>0</v>
      </c>
      <c r="G67" s="171"/>
      <c r="H67" s="171">
        <v>26979.645</v>
      </c>
      <c r="I67" s="171">
        <v>516.14666666666562</v>
      </c>
      <c r="J67" s="171">
        <v>25252.67</v>
      </c>
      <c r="K67" s="171"/>
      <c r="L67" s="171">
        <v>0</v>
      </c>
      <c r="M67" s="171">
        <v>0</v>
      </c>
      <c r="N67" s="171">
        <v>0</v>
      </c>
      <c r="O67" s="164">
        <v>0</v>
      </c>
      <c r="P67" s="164">
        <v>0</v>
      </c>
      <c r="Q67" s="172">
        <f t="shared" si="1"/>
        <v>52748.461666666662</v>
      </c>
      <c r="S67" s="30">
        <f t="shared" si="9"/>
        <v>0</v>
      </c>
      <c r="T67" s="30">
        <f t="shared" si="9"/>
        <v>52748.461666666662</v>
      </c>
      <c r="U67" s="30">
        <f t="shared" si="11"/>
        <v>0</v>
      </c>
      <c r="V67" s="30">
        <f t="shared" si="11"/>
        <v>0</v>
      </c>
      <c r="W67" s="30">
        <f t="shared" si="11"/>
        <v>0</v>
      </c>
      <c r="X67" s="30">
        <f t="shared" si="11"/>
        <v>0</v>
      </c>
      <c r="Y67" s="30">
        <f t="shared" si="11"/>
        <v>0</v>
      </c>
      <c r="Z67" s="30">
        <f t="shared" si="11"/>
        <v>0</v>
      </c>
      <c r="AA67" s="30">
        <f t="shared" si="11"/>
        <v>0</v>
      </c>
      <c r="AB67" s="39">
        <f t="shared" si="4"/>
        <v>0</v>
      </c>
    </row>
    <row r="68" spans="1:28">
      <c r="A68" s="168">
        <v>2168</v>
      </c>
      <c r="B68" s="2">
        <v>143413</v>
      </c>
      <c r="C68" s="2" t="s">
        <v>269</v>
      </c>
      <c r="E68" s="171">
        <v>0</v>
      </c>
      <c r="F68" s="171">
        <v>0</v>
      </c>
      <c r="G68" s="171"/>
      <c r="H68" s="171">
        <v>39977.886666666658</v>
      </c>
      <c r="I68" s="171">
        <v>662.38693333333276</v>
      </c>
      <c r="J68" s="171">
        <v>32841.666666666664</v>
      </c>
      <c r="K68" s="171"/>
      <c r="L68" s="171">
        <v>10499.229166666668</v>
      </c>
      <c r="M68" s="171">
        <v>0</v>
      </c>
      <c r="N68" s="171">
        <v>0</v>
      </c>
      <c r="O68" s="164">
        <v>0</v>
      </c>
      <c r="P68" s="164">
        <v>0</v>
      </c>
      <c r="Q68" s="172">
        <f t="shared" si="1"/>
        <v>83981.169433333329</v>
      </c>
      <c r="S68" s="30">
        <f t="shared" si="9"/>
        <v>10499.229166666668</v>
      </c>
      <c r="T68" s="30">
        <f t="shared" si="9"/>
        <v>73481.940266666657</v>
      </c>
      <c r="U68" s="30">
        <f t="shared" si="11"/>
        <v>0</v>
      </c>
      <c r="V68" s="30">
        <f t="shared" si="11"/>
        <v>0</v>
      </c>
      <c r="W68" s="30">
        <f t="shared" si="11"/>
        <v>0</v>
      </c>
      <c r="X68" s="30">
        <f t="shared" si="11"/>
        <v>0</v>
      </c>
      <c r="Y68" s="30">
        <f t="shared" si="11"/>
        <v>0</v>
      </c>
      <c r="Z68" s="30">
        <f t="shared" si="11"/>
        <v>0</v>
      </c>
      <c r="AA68" s="30">
        <f t="shared" si="11"/>
        <v>0</v>
      </c>
      <c r="AB68" s="39">
        <f t="shared" si="4"/>
        <v>0</v>
      </c>
    </row>
    <row r="69" spans="1:28">
      <c r="A69" s="168">
        <v>2036</v>
      </c>
      <c r="B69" s="2">
        <v>138194</v>
      </c>
      <c r="C69" s="2" t="s">
        <v>270</v>
      </c>
      <c r="E69" s="171">
        <v>0</v>
      </c>
      <c r="F69" s="171">
        <v>0</v>
      </c>
      <c r="G69" s="171"/>
      <c r="H69" s="171">
        <v>12564.130000000001</v>
      </c>
      <c r="I69" s="171">
        <v>245.20333333333269</v>
      </c>
      <c r="J69" s="171">
        <v>19157</v>
      </c>
      <c r="K69" s="171"/>
      <c r="L69" s="171">
        <v>0</v>
      </c>
      <c r="M69" s="171">
        <v>0</v>
      </c>
      <c r="N69" s="171">
        <v>0</v>
      </c>
      <c r="O69" s="164">
        <v>0</v>
      </c>
      <c r="P69" s="164">
        <v>0</v>
      </c>
      <c r="Q69" s="172">
        <f t="shared" si="1"/>
        <v>31966.333333333336</v>
      </c>
      <c r="S69" s="30">
        <f t="shared" si="9"/>
        <v>0</v>
      </c>
      <c r="T69" s="30">
        <f t="shared" si="9"/>
        <v>31966.333333333336</v>
      </c>
      <c r="U69" s="30">
        <f t="shared" si="11"/>
        <v>0</v>
      </c>
      <c r="V69" s="30">
        <f t="shared" si="11"/>
        <v>0</v>
      </c>
      <c r="W69" s="30">
        <f t="shared" si="11"/>
        <v>0</v>
      </c>
      <c r="X69" s="30">
        <f t="shared" si="11"/>
        <v>0</v>
      </c>
      <c r="Y69" s="30">
        <f t="shared" si="11"/>
        <v>0</v>
      </c>
      <c r="Z69" s="30">
        <f t="shared" si="11"/>
        <v>0</v>
      </c>
      <c r="AA69" s="30">
        <f t="shared" si="11"/>
        <v>0</v>
      </c>
      <c r="AB69" s="39">
        <f t="shared" si="4"/>
        <v>0</v>
      </c>
    </row>
    <row r="70" spans="1:28">
      <c r="A70" s="168">
        <v>5410</v>
      </c>
      <c r="B70" s="2">
        <v>136908</v>
      </c>
      <c r="C70" s="2" t="s">
        <v>271</v>
      </c>
      <c r="E70" s="171">
        <v>0</v>
      </c>
      <c r="F70" s="171">
        <v>0</v>
      </c>
      <c r="G70" s="171"/>
      <c r="H70" s="171">
        <v>31123.4</v>
      </c>
      <c r="I70" s="171">
        <v>541.73333333333221</v>
      </c>
      <c r="J70" s="171">
        <v>43854.999999999993</v>
      </c>
      <c r="K70" s="171"/>
      <c r="L70" s="171">
        <v>29397.841666666671</v>
      </c>
      <c r="M70" s="171">
        <v>0</v>
      </c>
      <c r="N70" s="171">
        <v>0</v>
      </c>
      <c r="O70" s="164">
        <v>0</v>
      </c>
      <c r="P70" s="164">
        <v>0</v>
      </c>
      <c r="Q70" s="172">
        <f t="shared" si="1"/>
        <v>104917.97500000001</v>
      </c>
      <c r="S70" s="30">
        <f t="shared" ref="S70:T89" si="12">SUMIF($E$3:$P$3,S$6,$E70:$P70)</f>
        <v>29397.841666666671</v>
      </c>
      <c r="T70" s="30">
        <f t="shared" si="12"/>
        <v>75520.133333333331</v>
      </c>
      <c r="U70" s="30">
        <f t="shared" ref="U70:AA79" si="13">SUMIF($E$3:$O$3,U$6,$E70:$O70)</f>
        <v>0</v>
      </c>
      <c r="V70" s="30">
        <f t="shared" si="13"/>
        <v>0</v>
      </c>
      <c r="W70" s="30">
        <f t="shared" si="13"/>
        <v>0</v>
      </c>
      <c r="X70" s="30">
        <f t="shared" si="13"/>
        <v>0</v>
      </c>
      <c r="Y70" s="30">
        <f t="shared" si="13"/>
        <v>0</v>
      </c>
      <c r="Z70" s="30">
        <f t="shared" si="13"/>
        <v>0</v>
      </c>
      <c r="AA70" s="30">
        <f t="shared" si="13"/>
        <v>0</v>
      </c>
      <c r="AB70" s="39">
        <f t="shared" si="4"/>
        <v>0</v>
      </c>
    </row>
    <row r="71" spans="1:28">
      <c r="A71" s="168">
        <v>2310</v>
      </c>
      <c r="B71" s="2">
        <v>139484</v>
      </c>
      <c r="C71" s="2" t="s">
        <v>272</v>
      </c>
      <c r="E71" s="171">
        <v>0</v>
      </c>
      <c r="F71" s="171">
        <v>0</v>
      </c>
      <c r="G71" s="171"/>
      <c r="H71" s="171">
        <v>44946.953333333338</v>
      </c>
      <c r="I71" s="171">
        <v>858.83333333333212</v>
      </c>
      <c r="J71" s="171">
        <v>33704.666666666672</v>
      </c>
      <c r="K71" s="171"/>
      <c r="L71" s="171">
        <v>0</v>
      </c>
      <c r="M71" s="171">
        <v>0</v>
      </c>
      <c r="N71" s="171">
        <v>0</v>
      </c>
      <c r="O71" s="164">
        <v>0</v>
      </c>
      <c r="P71" s="164">
        <v>0</v>
      </c>
      <c r="Q71" s="172">
        <f t="shared" si="1"/>
        <v>79510.453333333338</v>
      </c>
      <c r="S71" s="30">
        <f t="shared" si="12"/>
        <v>0</v>
      </c>
      <c r="T71" s="30">
        <f t="shared" si="12"/>
        <v>79510.453333333338</v>
      </c>
      <c r="U71" s="30">
        <f t="shared" si="13"/>
        <v>0</v>
      </c>
      <c r="V71" s="30">
        <f t="shared" si="13"/>
        <v>0</v>
      </c>
      <c r="W71" s="30">
        <f t="shared" si="13"/>
        <v>0</v>
      </c>
      <c r="X71" s="30">
        <f t="shared" si="13"/>
        <v>0</v>
      </c>
      <c r="Y71" s="30">
        <f t="shared" si="13"/>
        <v>0</v>
      </c>
      <c r="Z71" s="30">
        <f t="shared" si="13"/>
        <v>0</v>
      </c>
      <c r="AA71" s="30">
        <f t="shared" si="13"/>
        <v>0</v>
      </c>
      <c r="AB71" s="39">
        <f t="shared" si="4"/>
        <v>0</v>
      </c>
    </row>
    <row r="72" spans="1:28">
      <c r="A72" s="168">
        <v>2475</v>
      </c>
      <c r="B72" s="2">
        <v>143089</v>
      </c>
      <c r="C72" s="2" t="s">
        <v>273</v>
      </c>
      <c r="E72" s="171">
        <v>0</v>
      </c>
      <c r="F72" s="171">
        <v>0</v>
      </c>
      <c r="G72" s="163"/>
      <c r="H72" s="171">
        <v>28545.1</v>
      </c>
      <c r="I72" s="171">
        <v>386.8933333333332</v>
      </c>
      <c r="J72" s="171">
        <v>34351</v>
      </c>
      <c r="K72" s="163"/>
      <c r="L72" s="171">
        <v>0</v>
      </c>
      <c r="M72" s="171">
        <v>0</v>
      </c>
      <c r="N72" s="171">
        <v>0</v>
      </c>
      <c r="O72" s="164">
        <v>0</v>
      </c>
      <c r="P72" s="164">
        <v>0</v>
      </c>
      <c r="Q72" s="172">
        <f t="shared" si="1"/>
        <v>63282.993333333332</v>
      </c>
      <c r="S72" s="30">
        <f t="shared" si="12"/>
        <v>0</v>
      </c>
      <c r="T72" s="30">
        <f t="shared" si="12"/>
        <v>63282.993333333332</v>
      </c>
      <c r="U72" s="30">
        <f t="shared" si="13"/>
        <v>0</v>
      </c>
      <c r="V72" s="30">
        <f t="shared" si="13"/>
        <v>0</v>
      </c>
      <c r="W72" s="30">
        <f t="shared" si="13"/>
        <v>0</v>
      </c>
      <c r="X72" s="30">
        <f t="shared" si="13"/>
        <v>0</v>
      </c>
      <c r="Y72" s="30">
        <f t="shared" si="13"/>
        <v>0</v>
      </c>
      <c r="Z72" s="30">
        <f t="shared" si="13"/>
        <v>0</v>
      </c>
      <c r="AA72" s="30">
        <f t="shared" si="13"/>
        <v>0</v>
      </c>
      <c r="AB72" s="39">
        <f t="shared" ref="AB72:AB135" si="14">SUM(S72:AA72)-Q72</f>
        <v>0</v>
      </c>
    </row>
    <row r="73" spans="1:28">
      <c r="A73" s="168">
        <v>5403</v>
      </c>
      <c r="B73" s="2">
        <v>143435</v>
      </c>
      <c r="C73" s="2" t="s">
        <v>274</v>
      </c>
      <c r="E73" s="171">
        <v>0</v>
      </c>
      <c r="F73" s="171">
        <v>0</v>
      </c>
      <c r="G73" s="163"/>
      <c r="H73" s="171">
        <v>38023.79</v>
      </c>
      <c r="I73" s="171">
        <v>669.00999999999931</v>
      </c>
      <c r="J73" s="171">
        <v>37070</v>
      </c>
      <c r="K73" s="163"/>
      <c r="L73" s="171">
        <v>0</v>
      </c>
      <c r="M73" s="171">
        <v>0</v>
      </c>
      <c r="N73" s="171">
        <v>0</v>
      </c>
      <c r="O73" s="164">
        <v>0</v>
      </c>
      <c r="P73" s="164">
        <v>0</v>
      </c>
      <c r="Q73" s="172">
        <f t="shared" si="1"/>
        <v>75762.8</v>
      </c>
      <c r="S73" s="30">
        <f t="shared" si="12"/>
        <v>0</v>
      </c>
      <c r="T73" s="30">
        <f t="shared" si="12"/>
        <v>75762.8</v>
      </c>
      <c r="U73" s="30">
        <f t="shared" si="13"/>
        <v>0</v>
      </c>
      <c r="V73" s="30">
        <f t="shared" si="13"/>
        <v>0</v>
      </c>
      <c r="W73" s="30">
        <f t="shared" si="13"/>
        <v>0</v>
      </c>
      <c r="X73" s="30">
        <f t="shared" si="13"/>
        <v>0</v>
      </c>
      <c r="Y73" s="30">
        <f t="shared" si="13"/>
        <v>0</v>
      </c>
      <c r="Z73" s="30">
        <f t="shared" si="13"/>
        <v>0</v>
      </c>
      <c r="AA73" s="30">
        <f t="shared" si="13"/>
        <v>0</v>
      </c>
      <c r="AB73" s="39">
        <f t="shared" si="14"/>
        <v>0</v>
      </c>
    </row>
    <row r="74" spans="1:28">
      <c r="A74" s="168">
        <v>4005</v>
      </c>
      <c r="B74" s="2">
        <v>139047</v>
      </c>
      <c r="C74" s="2" t="s">
        <v>275</v>
      </c>
      <c r="E74" s="171">
        <v>0</v>
      </c>
      <c r="F74" s="171">
        <v>0</v>
      </c>
      <c r="G74" s="163"/>
      <c r="H74" s="171">
        <v>27825.350000000002</v>
      </c>
      <c r="I74" s="171">
        <v>557.64999999999895</v>
      </c>
      <c r="J74" s="171">
        <v>37241</v>
      </c>
      <c r="K74" s="163"/>
      <c r="L74" s="171">
        <v>0</v>
      </c>
      <c r="M74" s="171">
        <v>0</v>
      </c>
      <c r="N74" s="171">
        <v>0</v>
      </c>
      <c r="O74" s="164">
        <v>0</v>
      </c>
      <c r="P74" s="164">
        <v>0</v>
      </c>
      <c r="Q74" s="172">
        <f t="shared" ref="Q74:Q137" si="15">SUM(E74:P74)</f>
        <v>65624</v>
      </c>
      <c r="S74" s="30">
        <f t="shared" si="12"/>
        <v>0</v>
      </c>
      <c r="T74" s="30">
        <f t="shared" si="12"/>
        <v>65624</v>
      </c>
      <c r="U74" s="30">
        <f t="shared" si="13"/>
        <v>0</v>
      </c>
      <c r="V74" s="30">
        <f t="shared" si="13"/>
        <v>0</v>
      </c>
      <c r="W74" s="30">
        <f t="shared" si="13"/>
        <v>0</v>
      </c>
      <c r="X74" s="30">
        <f t="shared" si="13"/>
        <v>0</v>
      </c>
      <c r="Y74" s="30">
        <f t="shared" si="13"/>
        <v>0</v>
      </c>
      <c r="Z74" s="30">
        <f t="shared" si="13"/>
        <v>0</v>
      </c>
      <c r="AA74" s="30">
        <f t="shared" si="13"/>
        <v>0</v>
      </c>
      <c r="AB74" s="39">
        <f t="shared" si="14"/>
        <v>0</v>
      </c>
    </row>
    <row r="75" spans="1:28">
      <c r="A75" s="168">
        <v>2109</v>
      </c>
      <c r="B75" s="2">
        <v>139131</v>
      </c>
      <c r="C75" s="2" t="s">
        <v>276</v>
      </c>
      <c r="E75" s="171">
        <v>0</v>
      </c>
      <c r="F75" s="171">
        <v>0</v>
      </c>
      <c r="G75" s="163"/>
      <c r="H75" s="171">
        <v>72389.361666666679</v>
      </c>
      <c r="I75" s="171">
        <v>1062.5316666666652</v>
      </c>
      <c r="J75" s="171">
        <v>60698.166666666657</v>
      </c>
      <c r="K75" s="163"/>
      <c r="L75" s="171">
        <v>0</v>
      </c>
      <c r="M75" s="171">
        <v>0</v>
      </c>
      <c r="N75" s="171">
        <v>0</v>
      </c>
      <c r="O75" s="164">
        <v>0</v>
      </c>
      <c r="P75" s="164">
        <v>0</v>
      </c>
      <c r="Q75" s="172">
        <f t="shared" si="15"/>
        <v>134150.06</v>
      </c>
      <c r="S75" s="30">
        <f t="shared" si="12"/>
        <v>0</v>
      </c>
      <c r="T75" s="30">
        <f t="shared" si="12"/>
        <v>134150.06</v>
      </c>
      <c r="U75" s="30">
        <f t="shared" si="13"/>
        <v>0</v>
      </c>
      <c r="V75" s="30">
        <f t="shared" si="13"/>
        <v>0</v>
      </c>
      <c r="W75" s="30">
        <f t="shared" si="13"/>
        <v>0</v>
      </c>
      <c r="X75" s="30">
        <f t="shared" si="13"/>
        <v>0</v>
      </c>
      <c r="Y75" s="30">
        <f t="shared" si="13"/>
        <v>0</v>
      </c>
      <c r="Z75" s="30">
        <f t="shared" si="13"/>
        <v>0</v>
      </c>
      <c r="AA75" s="30">
        <f t="shared" si="13"/>
        <v>0</v>
      </c>
      <c r="AB75" s="39">
        <f t="shared" si="14"/>
        <v>0</v>
      </c>
    </row>
    <row r="76" spans="1:28">
      <c r="A76" s="168">
        <v>5412</v>
      </c>
      <c r="B76" s="2">
        <v>138695</v>
      </c>
      <c r="C76" s="2" t="s">
        <v>277</v>
      </c>
      <c r="E76" s="171">
        <v>0</v>
      </c>
      <c r="F76" s="171">
        <v>0</v>
      </c>
      <c r="G76" s="163"/>
      <c r="H76" s="171">
        <v>11178.424999999999</v>
      </c>
      <c r="I76" s="171">
        <v>196.03333333333285</v>
      </c>
      <c r="J76" s="171">
        <v>21646</v>
      </c>
      <c r="K76" s="163"/>
      <c r="L76" s="171">
        <v>0</v>
      </c>
      <c r="M76" s="171">
        <v>0</v>
      </c>
      <c r="N76" s="171">
        <v>0</v>
      </c>
      <c r="O76" s="164">
        <v>0</v>
      </c>
      <c r="P76" s="164">
        <v>0</v>
      </c>
      <c r="Q76" s="172">
        <f t="shared" si="15"/>
        <v>33020.458333333328</v>
      </c>
      <c r="S76" s="30">
        <f t="shared" si="12"/>
        <v>0</v>
      </c>
      <c r="T76" s="30">
        <f t="shared" si="12"/>
        <v>33020.458333333328</v>
      </c>
      <c r="U76" s="30">
        <f t="shared" si="13"/>
        <v>0</v>
      </c>
      <c r="V76" s="30">
        <f t="shared" si="13"/>
        <v>0</v>
      </c>
      <c r="W76" s="30">
        <f t="shared" si="13"/>
        <v>0</v>
      </c>
      <c r="X76" s="30">
        <f t="shared" si="13"/>
        <v>0</v>
      </c>
      <c r="Y76" s="30">
        <f t="shared" si="13"/>
        <v>0</v>
      </c>
      <c r="Z76" s="30">
        <f t="shared" si="13"/>
        <v>0</v>
      </c>
      <c r="AA76" s="30">
        <f t="shared" si="13"/>
        <v>0</v>
      </c>
      <c r="AB76" s="39">
        <f t="shared" si="14"/>
        <v>0</v>
      </c>
    </row>
    <row r="77" spans="1:28">
      <c r="A77" s="168">
        <v>2448</v>
      </c>
      <c r="B77" s="2">
        <v>142794</v>
      </c>
      <c r="C77" s="2" t="s">
        <v>278</v>
      </c>
      <c r="E77" s="171">
        <v>0</v>
      </c>
      <c r="F77" s="171">
        <v>0</v>
      </c>
      <c r="G77" s="163"/>
      <c r="H77" s="171">
        <v>24778.086666666662</v>
      </c>
      <c r="I77" s="171">
        <v>497.9133333333325</v>
      </c>
      <c r="J77" s="171">
        <v>22730.666666666668</v>
      </c>
      <c r="K77" s="163"/>
      <c r="L77" s="171">
        <v>0</v>
      </c>
      <c r="M77" s="171">
        <v>0</v>
      </c>
      <c r="N77" s="171">
        <v>0</v>
      </c>
      <c r="O77" s="164">
        <v>0</v>
      </c>
      <c r="P77" s="164">
        <v>0</v>
      </c>
      <c r="Q77" s="172">
        <f t="shared" si="15"/>
        <v>48006.666666666664</v>
      </c>
      <c r="S77" s="30">
        <f t="shared" si="12"/>
        <v>0</v>
      </c>
      <c r="T77" s="30">
        <f t="shared" si="12"/>
        <v>48006.666666666664</v>
      </c>
      <c r="U77" s="30">
        <f t="shared" si="13"/>
        <v>0</v>
      </c>
      <c r="V77" s="30">
        <f t="shared" si="13"/>
        <v>0</v>
      </c>
      <c r="W77" s="30">
        <f t="shared" si="13"/>
        <v>0</v>
      </c>
      <c r="X77" s="30">
        <f t="shared" si="13"/>
        <v>0</v>
      </c>
      <c r="Y77" s="30">
        <f t="shared" si="13"/>
        <v>0</v>
      </c>
      <c r="Z77" s="30">
        <f t="shared" si="13"/>
        <v>0</v>
      </c>
      <c r="AA77" s="30">
        <f t="shared" si="13"/>
        <v>0</v>
      </c>
      <c r="AB77" s="39">
        <f t="shared" si="14"/>
        <v>0</v>
      </c>
    </row>
    <row r="78" spans="1:28">
      <c r="A78" s="168">
        <v>2451</v>
      </c>
      <c r="B78" s="2">
        <v>141610</v>
      </c>
      <c r="C78" s="2" t="s">
        <v>279</v>
      </c>
      <c r="E78" s="171">
        <v>0</v>
      </c>
      <c r="F78" s="171">
        <v>0</v>
      </c>
      <c r="G78" s="163"/>
      <c r="H78" s="171">
        <v>52316.763333333329</v>
      </c>
      <c r="I78" s="171">
        <v>956.9133333333325</v>
      </c>
      <c r="J78" s="171">
        <v>39681.333333333336</v>
      </c>
      <c r="K78" s="163"/>
      <c r="L78" s="171">
        <v>0</v>
      </c>
      <c r="M78" s="171">
        <v>0</v>
      </c>
      <c r="N78" s="171">
        <v>0</v>
      </c>
      <c r="O78" s="164">
        <v>0</v>
      </c>
      <c r="P78" s="164">
        <v>0</v>
      </c>
      <c r="Q78" s="172">
        <f t="shared" si="15"/>
        <v>92955.01</v>
      </c>
      <c r="S78" s="30">
        <f t="shared" si="12"/>
        <v>0</v>
      </c>
      <c r="T78" s="30">
        <f t="shared" si="12"/>
        <v>92955.01</v>
      </c>
      <c r="U78" s="30">
        <f t="shared" si="13"/>
        <v>0</v>
      </c>
      <c r="V78" s="30">
        <f t="shared" si="13"/>
        <v>0</v>
      </c>
      <c r="W78" s="30">
        <f t="shared" si="13"/>
        <v>0</v>
      </c>
      <c r="X78" s="30">
        <f t="shared" si="13"/>
        <v>0</v>
      </c>
      <c r="Y78" s="30">
        <f t="shared" si="13"/>
        <v>0</v>
      </c>
      <c r="Z78" s="30">
        <f t="shared" si="13"/>
        <v>0</v>
      </c>
      <c r="AA78" s="30">
        <f t="shared" si="13"/>
        <v>0</v>
      </c>
      <c r="AB78" s="39">
        <f t="shared" si="14"/>
        <v>0</v>
      </c>
    </row>
    <row r="79" spans="1:28">
      <c r="A79" s="168">
        <v>2085</v>
      </c>
      <c r="B79" s="2">
        <v>138693</v>
      </c>
      <c r="C79" s="2" t="s">
        <v>280</v>
      </c>
      <c r="E79" s="171">
        <v>0</v>
      </c>
      <c r="F79" s="171">
        <v>0</v>
      </c>
      <c r="G79" s="163"/>
      <c r="H79" s="171">
        <v>42436.506666666661</v>
      </c>
      <c r="I79" s="171">
        <v>774.89333333333229</v>
      </c>
      <c r="J79" s="171">
        <v>36753.329999999994</v>
      </c>
      <c r="K79" s="163"/>
      <c r="L79" s="171">
        <v>0</v>
      </c>
      <c r="M79" s="171">
        <v>0</v>
      </c>
      <c r="N79" s="171">
        <v>0</v>
      </c>
      <c r="O79" s="164">
        <v>0</v>
      </c>
      <c r="P79" s="164">
        <v>0</v>
      </c>
      <c r="Q79" s="172">
        <f t="shared" si="15"/>
        <v>79964.729999999981</v>
      </c>
      <c r="S79" s="30">
        <f t="shared" si="12"/>
        <v>0</v>
      </c>
      <c r="T79" s="30">
        <f t="shared" si="12"/>
        <v>79964.729999999981</v>
      </c>
      <c r="U79" s="30">
        <f t="shared" si="13"/>
        <v>0</v>
      </c>
      <c r="V79" s="30">
        <f t="shared" si="13"/>
        <v>0</v>
      </c>
      <c r="W79" s="30">
        <f t="shared" si="13"/>
        <v>0</v>
      </c>
      <c r="X79" s="30">
        <f t="shared" si="13"/>
        <v>0</v>
      </c>
      <c r="Y79" s="30">
        <f t="shared" si="13"/>
        <v>0</v>
      </c>
      <c r="Z79" s="30">
        <f t="shared" si="13"/>
        <v>0</v>
      </c>
      <c r="AA79" s="30">
        <f t="shared" si="13"/>
        <v>0</v>
      </c>
      <c r="AB79" s="39">
        <f t="shared" si="14"/>
        <v>0</v>
      </c>
    </row>
    <row r="80" spans="1:28">
      <c r="A80" s="168">
        <v>4006</v>
      </c>
      <c r="B80" s="2">
        <v>139048</v>
      </c>
      <c r="C80" s="2" t="s">
        <v>281</v>
      </c>
      <c r="E80" s="171">
        <v>0</v>
      </c>
      <c r="F80" s="171">
        <v>0</v>
      </c>
      <c r="G80" s="163"/>
      <c r="H80" s="171">
        <v>38156.491666666661</v>
      </c>
      <c r="I80" s="171">
        <v>731.29999999999859</v>
      </c>
      <c r="J80" s="171">
        <v>48581.66333333333</v>
      </c>
      <c r="K80" s="163"/>
      <c r="L80" s="171">
        <v>62995.375</v>
      </c>
      <c r="M80" s="171">
        <v>0</v>
      </c>
      <c r="N80" s="171">
        <v>94799.075000000012</v>
      </c>
      <c r="O80" s="164">
        <v>0</v>
      </c>
      <c r="P80" s="164">
        <v>0</v>
      </c>
      <c r="Q80" s="172">
        <f t="shared" si="15"/>
        <v>245263.905</v>
      </c>
      <c r="S80" s="30">
        <f t="shared" si="12"/>
        <v>157794.45000000001</v>
      </c>
      <c r="T80" s="30">
        <f t="shared" si="12"/>
        <v>87469.454999999987</v>
      </c>
      <c r="U80" s="30">
        <f t="shared" ref="U80:AA89" si="16">SUMIF($E$3:$O$3,U$6,$E80:$O80)</f>
        <v>0</v>
      </c>
      <c r="V80" s="30">
        <f t="shared" si="16"/>
        <v>0</v>
      </c>
      <c r="W80" s="30">
        <f t="shared" si="16"/>
        <v>0</v>
      </c>
      <c r="X80" s="30">
        <f t="shared" si="16"/>
        <v>0</v>
      </c>
      <c r="Y80" s="30">
        <f t="shared" si="16"/>
        <v>0</v>
      </c>
      <c r="Z80" s="30">
        <f t="shared" si="16"/>
        <v>0</v>
      </c>
      <c r="AA80" s="30">
        <f t="shared" si="16"/>
        <v>0</v>
      </c>
      <c r="AB80" s="39">
        <f t="shared" si="14"/>
        <v>0</v>
      </c>
    </row>
    <row r="81" spans="1:28">
      <c r="A81" s="168">
        <v>2086</v>
      </c>
      <c r="B81" s="2">
        <v>143090</v>
      </c>
      <c r="C81" s="2" t="s">
        <v>282</v>
      </c>
      <c r="E81" s="171">
        <v>0</v>
      </c>
      <c r="F81" s="171">
        <v>0</v>
      </c>
      <c r="G81" s="163"/>
      <c r="H81" s="171">
        <v>52321.780000000006</v>
      </c>
      <c r="I81" s="171">
        <v>965.35999999999831</v>
      </c>
      <c r="J81" s="171">
        <v>63317.666666666657</v>
      </c>
      <c r="K81" s="163"/>
      <c r="L81" s="171">
        <v>0</v>
      </c>
      <c r="M81" s="171">
        <v>0</v>
      </c>
      <c r="N81" s="171">
        <v>0</v>
      </c>
      <c r="O81" s="164">
        <v>0</v>
      </c>
      <c r="P81" s="164">
        <v>0</v>
      </c>
      <c r="Q81" s="172">
        <f t="shared" si="15"/>
        <v>116604.80666666667</v>
      </c>
      <c r="S81" s="30">
        <f t="shared" si="12"/>
        <v>0</v>
      </c>
      <c r="T81" s="30">
        <f t="shared" si="12"/>
        <v>116604.80666666667</v>
      </c>
      <c r="U81" s="30">
        <f t="shared" si="16"/>
        <v>0</v>
      </c>
      <c r="V81" s="30">
        <f t="shared" si="16"/>
        <v>0</v>
      </c>
      <c r="W81" s="30">
        <f t="shared" si="16"/>
        <v>0</v>
      </c>
      <c r="X81" s="30">
        <f t="shared" si="16"/>
        <v>0</v>
      </c>
      <c r="Y81" s="30">
        <f t="shared" si="16"/>
        <v>0</v>
      </c>
      <c r="Z81" s="30">
        <f t="shared" si="16"/>
        <v>0</v>
      </c>
      <c r="AA81" s="30">
        <f t="shared" si="16"/>
        <v>0</v>
      </c>
      <c r="AB81" s="39">
        <f t="shared" si="14"/>
        <v>0</v>
      </c>
    </row>
    <row r="82" spans="1:28">
      <c r="A82" s="168">
        <v>2138</v>
      </c>
      <c r="B82" s="2">
        <v>139904</v>
      </c>
      <c r="C82" s="2" t="s">
        <v>283</v>
      </c>
      <c r="E82" s="171">
        <v>0</v>
      </c>
      <c r="F82" s="171">
        <v>0</v>
      </c>
      <c r="G82" s="163"/>
      <c r="H82" s="171">
        <v>54125.720000000008</v>
      </c>
      <c r="I82" s="171">
        <v>750.06999999999971</v>
      </c>
      <c r="J82" s="171">
        <v>44449.666666666672</v>
      </c>
      <c r="K82" s="163"/>
      <c r="L82" s="171">
        <v>0</v>
      </c>
      <c r="M82" s="171">
        <v>0</v>
      </c>
      <c r="N82" s="171">
        <v>0</v>
      </c>
      <c r="O82" s="164">
        <v>0</v>
      </c>
      <c r="P82" s="164">
        <v>0</v>
      </c>
      <c r="Q82" s="172">
        <f t="shared" si="15"/>
        <v>99325.45666666668</v>
      </c>
      <c r="S82" s="30">
        <f t="shared" si="12"/>
        <v>0</v>
      </c>
      <c r="T82" s="30">
        <f t="shared" si="12"/>
        <v>99325.45666666668</v>
      </c>
      <c r="U82" s="30">
        <f t="shared" si="16"/>
        <v>0</v>
      </c>
      <c r="V82" s="30">
        <f t="shared" si="16"/>
        <v>0</v>
      </c>
      <c r="W82" s="30">
        <f t="shared" si="16"/>
        <v>0</v>
      </c>
      <c r="X82" s="30">
        <f t="shared" si="16"/>
        <v>0</v>
      </c>
      <c r="Y82" s="30">
        <f t="shared" si="16"/>
        <v>0</v>
      </c>
      <c r="Z82" s="30">
        <f t="shared" si="16"/>
        <v>0</v>
      </c>
      <c r="AA82" s="30">
        <f t="shared" si="16"/>
        <v>0</v>
      </c>
      <c r="AB82" s="39">
        <f t="shared" si="14"/>
        <v>0</v>
      </c>
    </row>
    <row r="83" spans="1:28">
      <c r="A83" s="168">
        <v>3316</v>
      </c>
      <c r="B83" s="2">
        <v>148081</v>
      </c>
      <c r="C83" s="2" t="s">
        <v>284</v>
      </c>
      <c r="E83" s="171">
        <v>0</v>
      </c>
      <c r="F83" s="171">
        <v>0</v>
      </c>
      <c r="G83" s="163"/>
      <c r="H83" s="171">
        <v>27919.476666666666</v>
      </c>
      <c r="I83" s="171">
        <v>512.25333333333265</v>
      </c>
      <c r="J83" s="171">
        <v>40093.003333333334</v>
      </c>
      <c r="K83" s="163"/>
      <c r="L83" s="171">
        <v>0</v>
      </c>
      <c r="M83" s="171">
        <v>0</v>
      </c>
      <c r="N83" s="171">
        <v>0</v>
      </c>
      <c r="O83" s="164">
        <v>0</v>
      </c>
      <c r="P83" s="164">
        <v>0</v>
      </c>
      <c r="Q83" s="172">
        <f t="shared" si="15"/>
        <v>68524.733333333337</v>
      </c>
      <c r="S83" s="30">
        <f t="shared" si="12"/>
        <v>0</v>
      </c>
      <c r="T83" s="30">
        <f t="shared" si="12"/>
        <v>68524.733333333337</v>
      </c>
      <c r="U83" s="30">
        <f t="shared" si="16"/>
        <v>0</v>
      </c>
      <c r="V83" s="30">
        <f t="shared" si="16"/>
        <v>0</v>
      </c>
      <c r="W83" s="30">
        <f t="shared" si="16"/>
        <v>0</v>
      </c>
      <c r="X83" s="30">
        <f t="shared" si="16"/>
        <v>0</v>
      </c>
      <c r="Y83" s="30">
        <f t="shared" si="16"/>
        <v>0</v>
      </c>
      <c r="Z83" s="30">
        <f t="shared" si="16"/>
        <v>0</v>
      </c>
      <c r="AA83" s="30">
        <f t="shared" si="16"/>
        <v>0</v>
      </c>
      <c r="AB83" s="39">
        <f t="shared" si="14"/>
        <v>0</v>
      </c>
    </row>
    <row r="84" spans="1:28">
      <c r="A84" s="168">
        <v>5409</v>
      </c>
      <c r="B84" s="2">
        <v>137858</v>
      </c>
      <c r="C84" s="2" t="s">
        <v>285</v>
      </c>
      <c r="E84" s="171">
        <v>0</v>
      </c>
      <c r="F84" s="171">
        <v>0</v>
      </c>
      <c r="G84" s="163"/>
      <c r="H84" s="171">
        <v>74177.436666666676</v>
      </c>
      <c r="I84" s="171">
        <v>1509.3366666666639</v>
      </c>
      <c r="J84" s="171">
        <v>94230.666666666686</v>
      </c>
      <c r="K84" s="163"/>
      <c r="L84" s="171">
        <v>12599.075000000001</v>
      </c>
      <c r="M84" s="171">
        <v>0</v>
      </c>
      <c r="N84" s="171">
        <v>0</v>
      </c>
      <c r="O84" s="164">
        <v>0</v>
      </c>
      <c r="P84" s="164">
        <v>0</v>
      </c>
      <c r="Q84" s="172">
        <f t="shared" si="15"/>
        <v>182516.51500000004</v>
      </c>
      <c r="S84" s="30">
        <f t="shared" si="12"/>
        <v>12599.075000000001</v>
      </c>
      <c r="T84" s="30">
        <f t="shared" si="12"/>
        <v>169917.44000000003</v>
      </c>
      <c r="U84" s="30">
        <f t="shared" si="16"/>
        <v>0</v>
      </c>
      <c r="V84" s="30">
        <f t="shared" si="16"/>
        <v>0</v>
      </c>
      <c r="W84" s="30">
        <f t="shared" si="16"/>
        <v>0</v>
      </c>
      <c r="X84" s="30">
        <f t="shared" si="16"/>
        <v>0</v>
      </c>
      <c r="Y84" s="30">
        <f t="shared" si="16"/>
        <v>0</v>
      </c>
      <c r="Z84" s="30">
        <f t="shared" si="16"/>
        <v>0</v>
      </c>
      <c r="AA84" s="30">
        <f t="shared" si="16"/>
        <v>0</v>
      </c>
      <c r="AB84" s="39">
        <f t="shared" si="14"/>
        <v>0</v>
      </c>
    </row>
    <row r="85" spans="1:28">
      <c r="A85" s="168">
        <v>7000</v>
      </c>
      <c r="B85" s="2">
        <v>144336</v>
      </c>
      <c r="C85" s="2" t="s">
        <v>286</v>
      </c>
      <c r="E85" s="171">
        <v>18900</v>
      </c>
      <c r="F85" s="171">
        <v>0</v>
      </c>
      <c r="G85" s="163"/>
      <c r="H85" s="171">
        <v>0</v>
      </c>
      <c r="I85" s="171">
        <v>0</v>
      </c>
      <c r="J85" s="171">
        <v>0</v>
      </c>
      <c r="K85" s="163"/>
      <c r="L85" s="171">
        <v>0</v>
      </c>
      <c r="M85" s="171">
        <v>0</v>
      </c>
      <c r="N85" s="171">
        <v>0</v>
      </c>
      <c r="O85" s="164">
        <v>0</v>
      </c>
      <c r="P85" s="164">
        <v>0</v>
      </c>
      <c r="Q85" s="172">
        <f t="shared" si="15"/>
        <v>18900</v>
      </c>
      <c r="S85" s="30">
        <f t="shared" si="12"/>
        <v>0</v>
      </c>
      <c r="T85" s="30">
        <f t="shared" si="12"/>
        <v>18900</v>
      </c>
      <c r="U85" s="30">
        <f t="shared" si="16"/>
        <v>0</v>
      </c>
      <c r="V85" s="30">
        <f t="shared" si="16"/>
        <v>0</v>
      </c>
      <c r="W85" s="30">
        <f t="shared" si="16"/>
        <v>0</v>
      </c>
      <c r="X85" s="30">
        <f t="shared" si="16"/>
        <v>0</v>
      </c>
      <c r="Y85" s="30">
        <f t="shared" si="16"/>
        <v>0</v>
      </c>
      <c r="Z85" s="30">
        <f t="shared" si="16"/>
        <v>0</v>
      </c>
      <c r="AA85" s="30">
        <f t="shared" si="16"/>
        <v>0</v>
      </c>
      <c r="AB85" s="39">
        <f t="shared" si="14"/>
        <v>0</v>
      </c>
    </row>
    <row r="86" spans="1:28">
      <c r="A86" s="168">
        <v>4240</v>
      </c>
      <c r="B86" s="2">
        <v>139746</v>
      </c>
      <c r="C86" s="2" t="s">
        <v>287</v>
      </c>
      <c r="E86" s="171">
        <v>0</v>
      </c>
      <c r="F86" s="171">
        <v>0</v>
      </c>
      <c r="G86" s="163"/>
      <c r="H86" s="171">
        <v>18348.330000000002</v>
      </c>
      <c r="I86" s="171">
        <v>368.33666666666613</v>
      </c>
      <c r="J86" s="171">
        <v>4473.6000000000004</v>
      </c>
      <c r="K86" s="163"/>
      <c r="L86" s="171">
        <v>39897.070833333331</v>
      </c>
      <c r="M86" s="171">
        <v>0</v>
      </c>
      <c r="N86" s="171">
        <v>0</v>
      </c>
      <c r="O86" s="164">
        <v>0</v>
      </c>
      <c r="P86" s="164">
        <v>0</v>
      </c>
      <c r="Q86" s="172">
        <f t="shared" si="15"/>
        <v>63087.337500000001</v>
      </c>
      <c r="S86" s="30">
        <f t="shared" si="12"/>
        <v>39897.070833333331</v>
      </c>
      <c r="T86" s="30">
        <f t="shared" si="12"/>
        <v>23190.26666666667</v>
      </c>
      <c r="U86" s="30">
        <f t="shared" si="16"/>
        <v>0</v>
      </c>
      <c r="V86" s="30">
        <f t="shared" si="16"/>
        <v>0</v>
      </c>
      <c r="W86" s="30">
        <f t="shared" si="16"/>
        <v>0</v>
      </c>
      <c r="X86" s="30">
        <f t="shared" si="16"/>
        <v>0</v>
      </c>
      <c r="Y86" s="30">
        <f t="shared" si="16"/>
        <v>0</v>
      </c>
      <c r="Z86" s="30">
        <f t="shared" si="16"/>
        <v>0</v>
      </c>
      <c r="AA86" s="30">
        <f t="shared" si="16"/>
        <v>0</v>
      </c>
      <c r="AB86" s="39">
        <f t="shared" si="14"/>
        <v>0</v>
      </c>
    </row>
    <row r="87" spans="1:28">
      <c r="A87" s="168">
        <v>6910</v>
      </c>
      <c r="B87" s="2">
        <v>136213</v>
      </c>
      <c r="C87" s="2" t="s">
        <v>288</v>
      </c>
      <c r="E87" s="171">
        <v>0</v>
      </c>
      <c r="F87" s="171">
        <v>0</v>
      </c>
      <c r="G87" s="163"/>
      <c r="H87" s="171">
        <v>36715.493333333332</v>
      </c>
      <c r="I87" s="171">
        <v>743.00666666666552</v>
      </c>
      <c r="J87" s="171">
        <v>53653</v>
      </c>
      <c r="K87" s="163"/>
      <c r="L87" s="171">
        <v>0</v>
      </c>
      <c r="M87" s="171">
        <v>0</v>
      </c>
      <c r="N87" s="171">
        <v>94799.075000000012</v>
      </c>
      <c r="O87" s="164">
        <v>0</v>
      </c>
      <c r="P87" s="164">
        <v>0</v>
      </c>
      <c r="Q87" s="172">
        <f t="shared" si="15"/>
        <v>185910.57500000001</v>
      </c>
      <c r="S87" s="30">
        <f t="shared" si="12"/>
        <v>94799.075000000012</v>
      </c>
      <c r="T87" s="30">
        <f t="shared" si="12"/>
        <v>91111.5</v>
      </c>
      <c r="U87" s="30">
        <f t="shared" si="16"/>
        <v>0</v>
      </c>
      <c r="V87" s="30">
        <f t="shared" si="16"/>
        <v>0</v>
      </c>
      <c r="W87" s="30">
        <f t="shared" si="16"/>
        <v>0</v>
      </c>
      <c r="X87" s="30">
        <f t="shared" si="16"/>
        <v>0</v>
      </c>
      <c r="Y87" s="30">
        <f t="shared" si="16"/>
        <v>0</v>
      </c>
      <c r="Z87" s="30">
        <f t="shared" si="16"/>
        <v>0</v>
      </c>
      <c r="AA87" s="30">
        <f t="shared" si="16"/>
        <v>0</v>
      </c>
      <c r="AB87" s="39">
        <f t="shared" si="14"/>
        <v>0</v>
      </c>
    </row>
    <row r="88" spans="1:28">
      <c r="A88" s="168">
        <v>2121</v>
      </c>
      <c r="B88" s="2">
        <v>139269</v>
      </c>
      <c r="C88" s="2" t="s">
        <v>289</v>
      </c>
      <c r="E88" s="171">
        <v>0</v>
      </c>
      <c r="F88" s="171">
        <v>0</v>
      </c>
      <c r="G88" s="163"/>
      <c r="H88" s="171">
        <v>48157.13666666668</v>
      </c>
      <c r="I88" s="171">
        <v>904.52666666666528</v>
      </c>
      <c r="J88" s="171">
        <v>57241.003333333334</v>
      </c>
      <c r="K88" s="163"/>
      <c r="L88" s="171">
        <v>0</v>
      </c>
      <c r="M88" s="171">
        <v>0</v>
      </c>
      <c r="N88" s="171">
        <v>0</v>
      </c>
      <c r="O88" s="164">
        <v>0</v>
      </c>
      <c r="P88" s="164">
        <v>0</v>
      </c>
      <c r="Q88" s="172">
        <f t="shared" si="15"/>
        <v>106302.66666666669</v>
      </c>
      <c r="S88" s="30">
        <f t="shared" si="12"/>
        <v>0</v>
      </c>
      <c r="T88" s="30">
        <f t="shared" si="12"/>
        <v>106302.66666666669</v>
      </c>
      <c r="U88" s="30">
        <f t="shared" si="16"/>
        <v>0</v>
      </c>
      <c r="V88" s="30">
        <f t="shared" si="16"/>
        <v>0</v>
      </c>
      <c r="W88" s="30">
        <f t="shared" si="16"/>
        <v>0</v>
      </c>
      <c r="X88" s="30">
        <f t="shared" si="16"/>
        <v>0</v>
      </c>
      <c r="Y88" s="30">
        <f t="shared" si="16"/>
        <v>0</v>
      </c>
      <c r="Z88" s="30">
        <f t="shared" si="16"/>
        <v>0</v>
      </c>
      <c r="AA88" s="30">
        <f t="shared" si="16"/>
        <v>0</v>
      </c>
      <c r="AB88" s="39">
        <f t="shared" si="14"/>
        <v>0</v>
      </c>
    </row>
    <row r="89" spans="1:28">
      <c r="A89" s="168">
        <v>2313</v>
      </c>
      <c r="B89" s="2">
        <v>149366</v>
      </c>
      <c r="C89" s="2" t="s">
        <v>290</v>
      </c>
      <c r="E89" s="171">
        <v>0</v>
      </c>
      <c r="F89" s="171">
        <v>0</v>
      </c>
      <c r="G89" s="163"/>
      <c r="H89" s="171">
        <v>76831.370000000024</v>
      </c>
      <c r="I89" s="171">
        <v>1270.8933333333312</v>
      </c>
      <c r="J89" s="171">
        <v>66870.33666666667</v>
      </c>
      <c r="K89" s="163"/>
      <c r="L89" s="171">
        <v>0</v>
      </c>
      <c r="M89" s="171">
        <v>0</v>
      </c>
      <c r="N89" s="171">
        <v>0</v>
      </c>
      <c r="O89" s="164">
        <v>0</v>
      </c>
      <c r="P89" s="164">
        <v>0</v>
      </c>
      <c r="Q89" s="172">
        <f t="shared" si="15"/>
        <v>144972.60000000003</v>
      </c>
      <c r="S89" s="30">
        <f t="shared" si="12"/>
        <v>0</v>
      </c>
      <c r="T89" s="30">
        <f t="shared" si="12"/>
        <v>144972.60000000003</v>
      </c>
      <c r="U89" s="30">
        <f t="shared" si="16"/>
        <v>0</v>
      </c>
      <c r="V89" s="30">
        <f t="shared" si="16"/>
        <v>0</v>
      </c>
      <c r="W89" s="30">
        <f t="shared" si="16"/>
        <v>0</v>
      </c>
      <c r="X89" s="30">
        <f t="shared" si="16"/>
        <v>0</v>
      </c>
      <c r="Y89" s="30">
        <f t="shared" si="16"/>
        <v>0</v>
      </c>
      <c r="Z89" s="30">
        <f t="shared" si="16"/>
        <v>0</v>
      </c>
      <c r="AA89" s="30">
        <f t="shared" si="16"/>
        <v>0</v>
      </c>
      <c r="AB89" s="39">
        <f t="shared" si="14"/>
        <v>0</v>
      </c>
    </row>
    <row r="90" spans="1:28">
      <c r="A90" s="168">
        <v>2309</v>
      </c>
      <c r="B90" s="2">
        <v>142231</v>
      </c>
      <c r="C90" s="2" t="s">
        <v>291</v>
      </c>
      <c r="E90" s="171">
        <v>0</v>
      </c>
      <c r="F90" s="171">
        <v>0</v>
      </c>
      <c r="G90" s="163"/>
      <c r="H90" s="171">
        <v>40014.240000000005</v>
      </c>
      <c r="I90" s="171">
        <v>669.69333333333316</v>
      </c>
      <c r="J90" s="171">
        <v>57682.003333333319</v>
      </c>
      <c r="K90" s="163"/>
      <c r="L90" s="171">
        <v>0</v>
      </c>
      <c r="M90" s="171">
        <v>0</v>
      </c>
      <c r="N90" s="171">
        <v>0</v>
      </c>
      <c r="O90" s="164">
        <v>0</v>
      </c>
      <c r="P90" s="164">
        <v>0</v>
      </c>
      <c r="Q90" s="172">
        <f t="shared" si="15"/>
        <v>98365.936666666661</v>
      </c>
      <c r="S90" s="30">
        <f t="shared" ref="S90:T109" si="17">SUMIF($E$3:$P$3,S$6,$E90:$P90)</f>
        <v>0</v>
      </c>
      <c r="T90" s="30">
        <f t="shared" si="17"/>
        <v>98365.936666666661</v>
      </c>
      <c r="U90" s="30">
        <f t="shared" ref="U90:AA99" si="18">SUMIF($E$3:$O$3,U$6,$E90:$O90)</f>
        <v>0</v>
      </c>
      <c r="V90" s="30">
        <f t="shared" si="18"/>
        <v>0</v>
      </c>
      <c r="W90" s="30">
        <f t="shared" si="18"/>
        <v>0</v>
      </c>
      <c r="X90" s="30">
        <f t="shared" si="18"/>
        <v>0</v>
      </c>
      <c r="Y90" s="30">
        <f t="shared" si="18"/>
        <v>0</v>
      </c>
      <c r="Z90" s="30">
        <f t="shared" si="18"/>
        <v>0</v>
      </c>
      <c r="AA90" s="30">
        <f t="shared" si="18"/>
        <v>0</v>
      </c>
      <c r="AB90" s="39">
        <f t="shared" si="14"/>
        <v>0</v>
      </c>
    </row>
    <row r="91" spans="1:28">
      <c r="A91" s="168">
        <v>2455</v>
      </c>
      <c r="B91" s="2">
        <v>140890</v>
      </c>
      <c r="C91" s="2" t="s">
        <v>292</v>
      </c>
      <c r="E91" s="171">
        <v>0</v>
      </c>
      <c r="F91" s="171">
        <v>0</v>
      </c>
      <c r="G91" s="163"/>
      <c r="H91" s="171">
        <v>10051.299999999999</v>
      </c>
      <c r="I91" s="171">
        <v>196.03333333333285</v>
      </c>
      <c r="J91" s="171">
        <v>18005.669999999998</v>
      </c>
      <c r="K91" s="163"/>
      <c r="L91" s="171">
        <v>0</v>
      </c>
      <c r="M91" s="171">
        <v>0</v>
      </c>
      <c r="N91" s="171">
        <v>0</v>
      </c>
      <c r="O91" s="164">
        <v>0</v>
      </c>
      <c r="P91" s="164">
        <v>0</v>
      </c>
      <c r="Q91" s="172">
        <f t="shared" si="15"/>
        <v>28253.00333333333</v>
      </c>
      <c r="S91" s="30">
        <f t="shared" si="17"/>
        <v>0</v>
      </c>
      <c r="T91" s="30">
        <f t="shared" si="17"/>
        <v>28253.00333333333</v>
      </c>
      <c r="U91" s="30">
        <f t="shared" si="18"/>
        <v>0</v>
      </c>
      <c r="V91" s="30">
        <f t="shared" si="18"/>
        <v>0</v>
      </c>
      <c r="W91" s="30">
        <f t="shared" si="18"/>
        <v>0</v>
      </c>
      <c r="X91" s="30">
        <f t="shared" si="18"/>
        <v>0</v>
      </c>
      <c r="Y91" s="30">
        <f t="shared" si="18"/>
        <v>0</v>
      </c>
      <c r="Z91" s="30">
        <f t="shared" si="18"/>
        <v>0</v>
      </c>
      <c r="AA91" s="30">
        <f t="shared" si="18"/>
        <v>0</v>
      </c>
      <c r="AB91" s="39">
        <f t="shared" si="14"/>
        <v>0</v>
      </c>
    </row>
    <row r="92" spans="1:28">
      <c r="A92" s="168">
        <v>2165</v>
      </c>
      <c r="B92" s="2">
        <v>142570</v>
      </c>
      <c r="C92" s="2" t="s">
        <v>293</v>
      </c>
      <c r="E92" s="171">
        <v>0</v>
      </c>
      <c r="F92" s="171">
        <v>0</v>
      </c>
      <c r="G92" s="163"/>
      <c r="H92" s="171">
        <v>52930.556666666671</v>
      </c>
      <c r="I92" s="171">
        <v>807.14833333333195</v>
      </c>
      <c r="J92" s="171">
        <v>40944.009999999995</v>
      </c>
      <c r="K92" s="163"/>
      <c r="L92" s="171">
        <v>0</v>
      </c>
      <c r="M92" s="171">
        <v>0</v>
      </c>
      <c r="N92" s="171">
        <v>0</v>
      </c>
      <c r="O92" s="164">
        <v>0</v>
      </c>
      <c r="P92" s="164">
        <v>0</v>
      </c>
      <c r="Q92" s="172">
        <f t="shared" si="15"/>
        <v>94681.714999999997</v>
      </c>
      <c r="S92" s="30">
        <f t="shared" si="17"/>
        <v>0</v>
      </c>
      <c r="T92" s="30">
        <f t="shared" si="17"/>
        <v>94681.714999999997</v>
      </c>
      <c r="U92" s="30">
        <f t="shared" si="18"/>
        <v>0</v>
      </c>
      <c r="V92" s="30">
        <f t="shared" si="18"/>
        <v>0</v>
      </c>
      <c r="W92" s="30">
        <f t="shared" si="18"/>
        <v>0</v>
      </c>
      <c r="X92" s="30">
        <f t="shared" si="18"/>
        <v>0</v>
      </c>
      <c r="Y92" s="30">
        <f t="shared" si="18"/>
        <v>0</v>
      </c>
      <c r="Z92" s="30">
        <f t="shared" si="18"/>
        <v>0</v>
      </c>
      <c r="AA92" s="30">
        <f t="shared" si="18"/>
        <v>0</v>
      </c>
      <c r="AB92" s="39">
        <f t="shared" si="14"/>
        <v>0</v>
      </c>
    </row>
    <row r="93" spans="1:28">
      <c r="A93" s="168">
        <v>2210</v>
      </c>
      <c r="B93" s="2">
        <v>149483</v>
      </c>
      <c r="C93" s="2" t="s">
        <v>294</v>
      </c>
      <c r="E93" s="171">
        <v>0</v>
      </c>
      <c r="F93" s="171">
        <v>0</v>
      </c>
      <c r="G93" s="163"/>
      <c r="H93" s="171">
        <v>29896.673333333332</v>
      </c>
      <c r="I93" s="171">
        <v>595.95706666666592</v>
      </c>
      <c r="J93" s="171">
        <v>25171.333333333336</v>
      </c>
      <c r="K93" s="163"/>
      <c r="L93" s="171">
        <v>0</v>
      </c>
      <c r="M93" s="171">
        <v>0</v>
      </c>
      <c r="N93" s="171">
        <v>0</v>
      </c>
      <c r="O93" s="164">
        <v>0</v>
      </c>
      <c r="P93" s="164">
        <v>0</v>
      </c>
      <c r="Q93" s="172">
        <f t="shared" si="15"/>
        <v>55663.963733333338</v>
      </c>
      <c r="S93" s="30">
        <f t="shared" si="17"/>
        <v>0</v>
      </c>
      <c r="T93" s="30">
        <f t="shared" si="17"/>
        <v>55663.963733333338</v>
      </c>
      <c r="U93" s="30">
        <f t="shared" si="18"/>
        <v>0</v>
      </c>
      <c r="V93" s="30">
        <f t="shared" si="18"/>
        <v>0</v>
      </c>
      <c r="W93" s="30">
        <f t="shared" si="18"/>
        <v>0</v>
      </c>
      <c r="X93" s="30">
        <f t="shared" si="18"/>
        <v>0</v>
      </c>
      <c r="Y93" s="30">
        <f t="shared" si="18"/>
        <v>0</v>
      </c>
      <c r="Z93" s="30">
        <f t="shared" si="18"/>
        <v>0</v>
      </c>
      <c r="AA93" s="30">
        <f t="shared" si="18"/>
        <v>0</v>
      </c>
      <c r="AB93" s="39">
        <f t="shared" si="14"/>
        <v>0</v>
      </c>
    </row>
    <row r="94" spans="1:28">
      <c r="A94" s="168">
        <v>3429</v>
      </c>
      <c r="B94" s="2">
        <v>139520</v>
      </c>
      <c r="C94" s="2" t="s">
        <v>295</v>
      </c>
      <c r="E94" s="171">
        <v>0</v>
      </c>
      <c r="F94" s="171">
        <v>0</v>
      </c>
      <c r="G94" s="163"/>
      <c r="H94" s="171">
        <v>39233.049999999996</v>
      </c>
      <c r="I94" s="171">
        <v>471.42999999999779</v>
      </c>
      <c r="J94" s="171">
        <v>44095.673333333325</v>
      </c>
      <c r="K94" s="163"/>
      <c r="L94" s="171">
        <v>0</v>
      </c>
      <c r="M94" s="171">
        <v>0</v>
      </c>
      <c r="N94" s="171">
        <v>0</v>
      </c>
      <c r="O94" s="164">
        <v>0</v>
      </c>
      <c r="P94" s="164">
        <v>0</v>
      </c>
      <c r="Q94" s="172">
        <f t="shared" si="15"/>
        <v>83800.153333333321</v>
      </c>
      <c r="S94" s="30">
        <f t="shared" si="17"/>
        <v>0</v>
      </c>
      <c r="T94" s="30">
        <f t="shared" si="17"/>
        <v>83800.153333333321</v>
      </c>
      <c r="U94" s="30">
        <f t="shared" si="18"/>
        <v>0</v>
      </c>
      <c r="V94" s="30">
        <f t="shared" si="18"/>
        <v>0</v>
      </c>
      <c r="W94" s="30">
        <f t="shared" si="18"/>
        <v>0</v>
      </c>
      <c r="X94" s="30">
        <f t="shared" si="18"/>
        <v>0</v>
      </c>
      <c r="Y94" s="30">
        <f t="shared" si="18"/>
        <v>0</v>
      </c>
      <c r="Z94" s="30">
        <f t="shared" si="18"/>
        <v>0</v>
      </c>
      <c r="AA94" s="30">
        <f t="shared" si="18"/>
        <v>0</v>
      </c>
      <c r="AB94" s="39">
        <f t="shared" si="14"/>
        <v>0</v>
      </c>
    </row>
    <row r="95" spans="1:28">
      <c r="A95" s="168">
        <v>4012</v>
      </c>
      <c r="B95" s="2">
        <v>137346</v>
      </c>
      <c r="C95" s="2" t="s">
        <v>296</v>
      </c>
      <c r="E95" s="171">
        <v>0</v>
      </c>
      <c r="F95" s="171">
        <v>0</v>
      </c>
      <c r="G95" s="163"/>
      <c r="H95" s="171">
        <v>16751.21</v>
      </c>
      <c r="I95" s="171">
        <v>206.84999999999968</v>
      </c>
      <c r="J95" s="171">
        <v>13898.996666666666</v>
      </c>
      <c r="K95" s="163"/>
      <c r="L95" s="171">
        <v>0</v>
      </c>
      <c r="M95" s="171">
        <v>0</v>
      </c>
      <c r="N95" s="171">
        <v>0</v>
      </c>
      <c r="O95" s="164">
        <v>0</v>
      </c>
      <c r="P95" s="164">
        <v>0</v>
      </c>
      <c r="Q95" s="172">
        <f t="shared" si="15"/>
        <v>30857.056666666664</v>
      </c>
      <c r="S95" s="30">
        <f t="shared" si="17"/>
        <v>0</v>
      </c>
      <c r="T95" s="30">
        <f t="shared" si="17"/>
        <v>30857.056666666664</v>
      </c>
      <c r="U95" s="30">
        <f t="shared" si="18"/>
        <v>0</v>
      </c>
      <c r="V95" s="30">
        <f t="shared" si="18"/>
        <v>0</v>
      </c>
      <c r="W95" s="30">
        <f t="shared" si="18"/>
        <v>0</v>
      </c>
      <c r="X95" s="30">
        <f t="shared" si="18"/>
        <v>0</v>
      </c>
      <c r="Y95" s="30">
        <f t="shared" si="18"/>
        <v>0</v>
      </c>
      <c r="Z95" s="30">
        <f t="shared" si="18"/>
        <v>0</v>
      </c>
      <c r="AA95" s="30">
        <f t="shared" si="18"/>
        <v>0</v>
      </c>
      <c r="AB95" s="39">
        <f t="shared" si="14"/>
        <v>0</v>
      </c>
    </row>
    <row r="96" spans="1:28">
      <c r="A96" s="168">
        <v>2434</v>
      </c>
      <c r="B96" s="2">
        <v>141270</v>
      </c>
      <c r="C96" s="2" t="s">
        <v>297</v>
      </c>
      <c r="E96" s="171">
        <v>0</v>
      </c>
      <c r="F96" s="171">
        <v>0</v>
      </c>
      <c r="G96" s="163"/>
      <c r="H96" s="171">
        <v>21466.706666666665</v>
      </c>
      <c r="I96" s="171">
        <v>396.41333333333273</v>
      </c>
      <c r="J96" s="171">
        <v>28990.003333333334</v>
      </c>
      <c r="K96" s="163"/>
      <c r="L96" s="171">
        <v>0</v>
      </c>
      <c r="M96" s="171">
        <v>0</v>
      </c>
      <c r="N96" s="171">
        <v>0</v>
      </c>
      <c r="O96" s="164">
        <v>0</v>
      </c>
      <c r="P96" s="164">
        <v>0</v>
      </c>
      <c r="Q96" s="172">
        <f t="shared" si="15"/>
        <v>50853.123333333337</v>
      </c>
      <c r="S96" s="30">
        <f t="shared" si="17"/>
        <v>0</v>
      </c>
      <c r="T96" s="30">
        <f t="shared" si="17"/>
        <v>50853.123333333337</v>
      </c>
      <c r="U96" s="30">
        <f t="shared" si="18"/>
        <v>0</v>
      </c>
      <c r="V96" s="30">
        <f t="shared" si="18"/>
        <v>0</v>
      </c>
      <c r="W96" s="30">
        <f t="shared" si="18"/>
        <v>0</v>
      </c>
      <c r="X96" s="30">
        <f t="shared" si="18"/>
        <v>0</v>
      </c>
      <c r="Y96" s="30">
        <f t="shared" si="18"/>
        <v>0</v>
      </c>
      <c r="Z96" s="30">
        <f t="shared" si="18"/>
        <v>0</v>
      </c>
      <c r="AA96" s="30">
        <f t="shared" si="18"/>
        <v>0</v>
      </c>
      <c r="AB96" s="39">
        <f t="shared" si="14"/>
        <v>0</v>
      </c>
    </row>
    <row r="97" spans="1:28">
      <c r="A97" s="168">
        <v>3430</v>
      </c>
      <c r="B97" s="2">
        <v>143869</v>
      </c>
      <c r="C97" s="2" t="s">
        <v>298</v>
      </c>
      <c r="E97" s="171">
        <v>0</v>
      </c>
      <c r="F97" s="171">
        <v>0</v>
      </c>
      <c r="G97" s="163"/>
      <c r="H97" s="171">
        <v>35703.346666666665</v>
      </c>
      <c r="I97" s="171">
        <v>713.6533333333316</v>
      </c>
      <c r="J97" s="171">
        <v>40404.000000000007</v>
      </c>
      <c r="K97" s="163"/>
      <c r="L97" s="171">
        <v>0</v>
      </c>
      <c r="M97" s="171">
        <v>0</v>
      </c>
      <c r="N97" s="171">
        <v>0</v>
      </c>
      <c r="O97" s="164">
        <v>0</v>
      </c>
      <c r="P97" s="164">
        <v>0</v>
      </c>
      <c r="Q97" s="172">
        <f t="shared" si="15"/>
        <v>76821</v>
      </c>
      <c r="S97" s="30">
        <f t="shared" si="17"/>
        <v>0</v>
      </c>
      <c r="T97" s="30">
        <f t="shared" si="17"/>
        <v>76821</v>
      </c>
      <c r="U97" s="30">
        <f t="shared" si="18"/>
        <v>0</v>
      </c>
      <c r="V97" s="30">
        <f t="shared" si="18"/>
        <v>0</v>
      </c>
      <c r="W97" s="30">
        <f t="shared" si="18"/>
        <v>0</v>
      </c>
      <c r="X97" s="30">
        <f t="shared" si="18"/>
        <v>0</v>
      </c>
      <c r="Y97" s="30">
        <f t="shared" si="18"/>
        <v>0</v>
      </c>
      <c r="Z97" s="30">
        <f t="shared" si="18"/>
        <v>0</v>
      </c>
      <c r="AA97" s="30">
        <f t="shared" si="18"/>
        <v>0</v>
      </c>
      <c r="AB97" s="39">
        <f t="shared" si="14"/>
        <v>0</v>
      </c>
    </row>
    <row r="98" spans="1:28">
      <c r="A98" s="168">
        <v>2429</v>
      </c>
      <c r="B98" s="2">
        <v>149305</v>
      </c>
      <c r="C98" s="2" t="s">
        <v>299</v>
      </c>
      <c r="E98" s="171">
        <v>0</v>
      </c>
      <c r="F98" s="171">
        <v>0</v>
      </c>
      <c r="G98" s="163"/>
      <c r="H98" s="171">
        <v>26520.38</v>
      </c>
      <c r="I98" s="171">
        <v>517.61999999999875</v>
      </c>
      <c r="J98" s="171">
        <v>20915.666666666668</v>
      </c>
      <c r="K98" s="163"/>
      <c r="L98" s="171">
        <v>0</v>
      </c>
      <c r="M98" s="171">
        <v>0</v>
      </c>
      <c r="N98" s="171">
        <v>0</v>
      </c>
      <c r="O98" s="164">
        <v>0</v>
      </c>
      <c r="P98" s="164">
        <v>0</v>
      </c>
      <c r="Q98" s="172">
        <f t="shared" si="15"/>
        <v>47953.666666666672</v>
      </c>
      <c r="S98" s="30">
        <f t="shared" si="17"/>
        <v>0</v>
      </c>
      <c r="T98" s="30">
        <f t="shared" si="17"/>
        <v>47953.666666666672</v>
      </c>
      <c r="U98" s="30">
        <f t="shared" si="18"/>
        <v>0</v>
      </c>
      <c r="V98" s="30">
        <f t="shared" si="18"/>
        <v>0</v>
      </c>
      <c r="W98" s="30">
        <f t="shared" si="18"/>
        <v>0</v>
      </c>
      <c r="X98" s="30">
        <f t="shared" si="18"/>
        <v>0</v>
      </c>
      <c r="Y98" s="30">
        <f t="shared" si="18"/>
        <v>0</v>
      </c>
      <c r="Z98" s="30">
        <f t="shared" si="18"/>
        <v>0</v>
      </c>
      <c r="AA98" s="30">
        <f t="shared" si="18"/>
        <v>0</v>
      </c>
      <c r="AB98" s="39">
        <f t="shared" si="14"/>
        <v>0</v>
      </c>
    </row>
    <row r="99" spans="1:28">
      <c r="A99" s="168">
        <v>2288</v>
      </c>
      <c r="B99" s="2">
        <v>149607</v>
      </c>
      <c r="C99" s="2" t="s">
        <v>300</v>
      </c>
      <c r="E99" s="171">
        <v>0</v>
      </c>
      <c r="F99" s="171">
        <v>0</v>
      </c>
      <c r="G99" s="163"/>
      <c r="H99" s="171">
        <v>49127.930000000008</v>
      </c>
      <c r="I99" s="171">
        <v>915.26666666666461</v>
      </c>
      <c r="J99" s="171">
        <v>67617.343333333338</v>
      </c>
      <c r="K99" s="163"/>
      <c r="L99" s="171">
        <v>0</v>
      </c>
      <c r="M99" s="171">
        <v>0</v>
      </c>
      <c r="N99" s="171">
        <v>0</v>
      </c>
      <c r="O99" s="164">
        <v>0</v>
      </c>
      <c r="P99" s="164">
        <v>0</v>
      </c>
      <c r="Q99" s="172">
        <f t="shared" si="15"/>
        <v>117660.54000000001</v>
      </c>
      <c r="S99" s="30">
        <f t="shared" si="17"/>
        <v>0</v>
      </c>
      <c r="T99" s="30">
        <f t="shared" si="17"/>
        <v>117660.54000000001</v>
      </c>
      <c r="U99" s="30">
        <f t="shared" si="18"/>
        <v>0</v>
      </c>
      <c r="V99" s="30">
        <f t="shared" si="18"/>
        <v>0</v>
      </c>
      <c r="W99" s="30">
        <f t="shared" si="18"/>
        <v>0</v>
      </c>
      <c r="X99" s="30">
        <f t="shared" si="18"/>
        <v>0</v>
      </c>
      <c r="Y99" s="30">
        <f t="shared" si="18"/>
        <v>0</v>
      </c>
      <c r="Z99" s="30">
        <f t="shared" si="18"/>
        <v>0</v>
      </c>
      <c r="AA99" s="30">
        <f t="shared" si="18"/>
        <v>0</v>
      </c>
      <c r="AB99" s="39">
        <f t="shared" si="14"/>
        <v>0</v>
      </c>
    </row>
    <row r="100" spans="1:28">
      <c r="A100" s="168">
        <v>3402</v>
      </c>
      <c r="B100" s="2">
        <v>140525</v>
      </c>
      <c r="C100" s="2" t="s">
        <v>301</v>
      </c>
      <c r="E100" s="171">
        <v>0</v>
      </c>
      <c r="F100" s="171">
        <v>0</v>
      </c>
      <c r="G100" s="163"/>
      <c r="H100" s="171">
        <v>20139.739999999998</v>
      </c>
      <c r="I100" s="171">
        <v>343.84333333333279</v>
      </c>
      <c r="J100" s="171">
        <v>27265.673333333329</v>
      </c>
      <c r="K100" s="163"/>
      <c r="L100" s="171">
        <v>0</v>
      </c>
      <c r="M100" s="171">
        <v>0</v>
      </c>
      <c r="N100" s="171">
        <v>0</v>
      </c>
      <c r="O100" s="164">
        <v>0</v>
      </c>
      <c r="P100" s="164">
        <v>0</v>
      </c>
      <c r="Q100" s="172">
        <f t="shared" si="15"/>
        <v>47749.256666666661</v>
      </c>
      <c r="S100" s="30">
        <f t="shared" si="17"/>
        <v>0</v>
      </c>
      <c r="T100" s="30">
        <f t="shared" si="17"/>
        <v>47749.256666666661</v>
      </c>
      <c r="U100" s="30">
        <f t="shared" ref="U100:AA109" si="19">SUMIF($E$3:$O$3,U$6,$E100:$O100)</f>
        <v>0</v>
      </c>
      <c r="V100" s="30">
        <f t="shared" si="19"/>
        <v>0</v>
      </c>
      <c r="W100" s="30">
        <f t="shared" si="19"/>
        <v>0</v>
      </c>
      <c r="X100" s="30">
        <f t="shared" si="19"/>
        <v>0</v>
      </c>
      <c r="Y100" s="30">
        <f t="shared" si="19"/>
        <v>0</v>
      </c>
      <c r="Z100" s="30">
        <f t="shared" si="19"/>
        <v>0</v>
      </c>
      <c r="AA100" s="30">
        <f t="shared" si="19"/>
        <v>0</v>
      </c>
      <c r="AB100" s="39">
        <f t="shared" si="14"/>
        <v>0</v>
      </c>
    </row>
    <row r="101" spans="1:28">
      <c r="A101" s="168">
        <v>2199</v>
      </c>
      <c r="B101" s="2">
        <v>147009</v>
      </c>
      <c r="C101" s="2" t="s">
        <v>302</v>
      </c>
      <c r="E101" s="171">
        <v>0</v>
      </c>
      <c r="F101" s="171">
        <v>0</v>
      </c>
      <c r="G101" s="163"/>
      <c r="H101" s="171">
        <v>14409.733333333334</v>
      </c>
      <c r="I101" s="171">
        <v>285.59999999999945</v>
      </c>
      <c r="J101" s="171">
        <v>13640</v>
      </c>
      <c r="K101" s="163"/>
      <c r="L101" s="171">
        <v>0</v>
      </c>
      <c r="M101" s="171">
        <v>0</v>
      </c>
      <c r="N101" s="171">
        <v>0</v>
      </c>
      <c r="O101" s="164">
        <v>0</v>
      </c>
      <c r="P101" s="164">
        <v>0</v>
      </c>
      <c r="Q101" s="172">
        <f t="shared" si="15"/>
        <v>28335.333333333332</v>
      </c>
      <c r="S101" s="30">
        <f t="shared" si="17"/>
        <v>0</v>
      </c>
      <c r="T101" s="30">
        <f t="shared" si="17"/>
        <v>28335.333333333332</v>
      </c>
      <c r="U101" s="30">
        <f t="shared" si="19"/>
        <v>0</v>
      </c>
      <c r="V101" s="30">
        <f t="shared" si="19"/>
        <v>0</v>
      </c>
      <c r="W101" s="30">
        <f t="shared" si="19"/>
        <v>0</v>
      </c>
      <c r="X101" s="30">
        <f t="shared" si="19"/>
        <v>0</v>
      </c>
      <c r="Y101" s="30">
        <f t="shared" si="19"/>
        <v>0</v>
      </c>
      <c r="Z101" s="30">
        <f t="shared" si="19"/>
        <v>0</v>
      </c>
      <c r="AA101" s="30">
        <f t="shared" si="19"/>
        <v>0</v>
      </c>
      <c r="AB101" s="39">
        <f t="shared" si="14"/>
        <v>0</v>
      </c>
    </row>
    <row r="102" spans="1:28">
      <c r="A102" s="168">
        <v>4026</v>
      </c>
      <c r="B102" s="2">
        <v>144719</v>
      </c>
      <c r="C102" s="2" t="s">
        <v>303</v>
      </c>
      <c r="E102" s="171">
        <v>0</v>
      </c>
      <c r="F102" s="171">
        <v>0</v>
      </c>
      <c r="G102" s="163"/>
      <c r="H102" s="171">
        <v>32325.299999999996</v>
      </c>
      <c r="I102" s="171">
        <v>437.66666666666583</v>
      </c>
      <c r="J102" s="171">
        <v>30679.200000000001</v>
      </c>
      <c r="K102" s="163"/>
      <c r="L102" s="171">
        <v>0</v>
      </c>
      <c r="M102" s="171">
        <v>0</v>
      </c>
      <c r="N102" s="171">
        <v>0</v>
      </c>
      <c r="O102" s="164">
        <v>0</v>
      </c>
      <c r="P102" s="164">
        <v>0</v>
      </c>
      <c r="Q102" s="172">
        <f t="shared" si="15"/>
        <v>63442.166666666657</v>
      </c>
      <c r="S102" s="30">
        <f t="shared" si="17"/>
        <v>0</v>
      </c>
      <c r="T102" s="30">
        <f t="shared" si="17"/>
        <v>63442.166666666657</v>
      </c>
      <c r="U102" s="30">
        <f t="shared" si="19"/>
        <v>0</v>
      </c>
      <c r="V102" s="30">
        <f t="shared" si="19"/>
        <v>0</v>
      </c>
      <c r="W102" s="30">
        <f t="shared" si="19"/>
        <v>0</v>
      </c>
      <c r="X102" s="30">
        <f t="shared" si="19"/>
        <v>0</v>
      </c>
      <c r="Y102" s="30">
        <f t="shared" si="19"/>
        <v>0</v>
      </c>
      <c r="Z102" s="30">
        <f t="shared" si="19"/>
        <v>0</v>
      </c>
      <c r="AA102" s="30">
        <f t="shared" si="19"/>
        <v>0</v>
      </c>
      <c r="AB102" s="39">
        <f t="shared" si="14"/>
        <v>0</v>
      </c>
    </row>
    <row r="103" spans="1:28">
      <c r="A103" s="168">
        <v>3303</v>
      </c>
      <c r="B103" s="2">
        <v>140463</v>
      </c>
      <c r="C103" s="2" t="s">
        <v>304</v>
      </c>
      <c r="E103" s="171">
        <v>0</v>
      </c>
      <c r="F103" s="171">
        <v>0</v>
      </c>
      <c r="G103" s="163"/>
      <c r="H103" s="171">
        <v>23420.966666666667</v>
      </c>
      <c r="I103" s="171">
        <v>442.49666666666599</v>
      </c>
      <c r="J103" s="171">
        <v>20291.33666666667</v>
      </c>
      <c r="K103" s="163"/>
      <c r="L103" s="171">
        <v>0</v>
      </c>
      <c r="M103" s="171">
        <v>0</v>
      </c>
      <c r="N103" s="171">
        <v>0</v>
      </c>
      <c r="O103" s="164">
        <v>0</v>
      </c>
      <c r="P103" s="164">
        <v>0</v>
      </c>
      <c r="Q103" s="172">
        <f t="shared" si="15"/>
        <v>44154.8</v>
      </c>
      <c r="S103" s="30">
        <f t="shared" si="17"/>
        <v>0</v>
      </c>
      <c r="T103" s="30">
        <f t="shared" si="17"/>
        <v>44154.8</v>
      </c>
      <c r="U103" s="30">
        <f t="shared" si="19"/>
        <v>0</v>
      </c>
      <c r="V103" s="30">
        <f t="shared" si="19"/>
        <v>0</v>
      </c>
      <c r="W103" s="30">
        <f t="shared" si="19"/>
        <v>0</v>
      </c>
      <c r="X103" s="30">
        <f t="shared" si="19"/>
        <v>0</v>
      </c>
      <c r="Y103" s="30">
        <f t="shared" si="19"/>
        <v>0</v>
      </c>
      <c r="Z103" s="30">
        <f t="shared" si="19"/>
        <v>0</v>
      </c>
      <c r="AA103" s="30">
        <f t="shared" si="19"/>
        <v>0</v>
      </c>
      <c r="AB103" s="39">
        <f t="shared" si="14"/>
        <v>0</v>
      </c>
    </row>
    <row r="104" spans="1:28">
      <c r="A104" s="168">
        <v>4241</v>
      </c>
      <c r="B104" s="2">
        <v>137034</v>
      </c>
      <c r="C104" s="2" t="s">
        <v>305</v>
      </c>
      <c r="E104" s="171">
        <v>0</v>
      </c>
      <c r="F104" s="171">
        <v>0</v>
      </c>
      <c r="G104" s="163"/>
      <c r="H104" s="171">
        <v>10488.816666666666</v>
      </c>
      <c r="I104" s="171">
        <v>108.83333333333303</v>
      </c>
      <c r="J104" s="171">
        <v>10078</v>
      </c>
      <c r="K104" s="163"/>
      <c r="L104" s="171">
        <v>0</v>
      </c>
      <c r="M104" s="171">
        <v>0</v>
      </c>
      <c r="N104" s="171">
        <v>0</v>
      </c>
      <c r="O104" s="164">
        <v>0</v>
      </c>
      <c r="P104" s="164">
        <v>0</v>
      </c>
      <c r="Q104" s="172">
        <f t="shared" si="15"/>
        <v>20675.649999999998</v>
      </c>
      <c r="S104" s="30">
        <f t="shared" si="17"/>
        <v>0</v>
      </c>
      <c r="T104" s="30">
        <f t="shared" si="17"/>
        <v>20675.649999999998</v>
      </c>
      <c r="U104" s="30">
        <f t="shared" si="19"/>
        <v>0</v>
      </c>
      <c r="V104" s="30">
        <f t="shared" si="19"/>
        <v>0</v>
      </c>
      <c r="W104" s="30">
        <f t="shared" si="19"/>
        <v>0</v>
      </c>
      <c r="X104" s="30">
        <f t="shared" si="19"/>
        <v>0</v>
      </c>
      <c r="Y104" s="30">
        <f t="shared" si="19"/>
        <v>0</v>
      </c>
      <c r="Z104" s="30">
        <f t="shared" si="19"/>
        <v>0</v>
      </c>
      <c r="AA104" s="30">
        <f t="shared" si="19"/>
        <v>0</v>
      </c>
      <c r="AB104" s="39">
        <f t="shared" si="14"/>
        <v>0</v>
      </c>
    </row>
    <row r="105" spans="1:28">
      <c r="A105" s="168">
        <v>7063</v>
      </c>
      <c r="B105" s="2">
        <v>139526</v>
      </c>
      <c r="C105" s="2" t="s">
        <v>306</v>
      </c>
      <c r="E105" s="171">
        <v>50400</v>
      </c>
      <c r="F105" s="171">
        <v>0</v>
      </c>
      <c r="G105" s="163"/>
      <c r="H105" s="171">
        <v>0</v>
      </c>
      <c r="I105" s="171">
        <v>0</v>
      </c>
      <c r="J105" s="171">
        <v>0</v>
      </c>
      <c r="K105" s="163"/>
      <c r="L105" s="171">
        <v>0</v>
      </c>
      <c r="M105" s="171">
        <v>0</v>
      </c>
      <c r="N105" s="171">
        <v>0</v>
      </c>
      <c r="O105" s="164">
        <v>0</v>
      </c>
      <c r="P105" s="164">
        <v>0</v>
      </c>
      <c r="Q105" s="172">
        <f t="shared" si="15"/>
        <v>50400</v>
      </c>
      <c r="S105" s="30">
        <f t="shared" si="17"/>
        <v>0</v>
      </c>
      <c r="T105" s="30">
        <f t="shared" si="17"/>
        <v>50400</v>
      </c>
      <c r="U105" s="30">
        <f t="shared" si="19"/>
        <v>0</v>
      </c>
      <c r="V105" s="30">
        <f t="shared" si="19"/>
        <v>0</v>
      </c>
      <c r="W105" s="30">
        <f t="shared" si="19"/>
        <v>0</v>
      </c>
      <c r="X105" s="30">
        <f t="shared" si="19"/>
        <v>0</v>
      </c>
      <c r="Y105" s="30">
        <f t="shared" si="19"/>
        <v>0</v>
      </c>
      <c r="Z105" s="30">
        <f t="shared" si="19"/>
        <v>0</v>
      </c>
      <c r="AA105" s="30">
        <f t="shared" si="19"/>
        <v>0</v>
      </c>
      <c r="AB105" s="39">
        <f t="shared" si="14"/>
        <v>0</v>
      </c>
    </row>
    <row r="106" spans="1:28">
      <c r="A106" s="168">
        <v>2111</v>
      </c>
      <c r="B106" s="2">
        <v>142353</v>
      </c>
      <c r="C106" s="2" t="s">
        <v>307</v>
      </c>
      <c r="E106" s="171">
        <v>0</v>
      </c>
      <c r="F106" s="171">
        <v>0</v>
      </c>
      <c r="G106" s="163"/>
      <c r="H106" s="171">
        <v>52789.32</v>
      </c>
      <c r="I106" s="171">
        <v>806.43333333333248</v>
      </c>
      <c r="J106" s="171">
        <v>34623.67</v>
      </c>
      <c r="K106" s="163"/>
      <c r="L106" s="171">
        <v>0</v>
      </c>
      <c r="M106" s="171">
        <v>0</v>
      </c>
      <c r="N106" s="171">
        <v>0</v>
      </c>
      <c r="O106" s="164">
        <v>0</v>
      </c>
      <c r="P106" s="164">
        <v>0</v>
      </c>
      <c r="Q106" s="172">
        <f t="shared" si="15"/>
        <v>88219.42333333334</v>
      </c>
      <c r="S106" s="30">
        <f t="shared" si="17"/>
        <v>0</v>
      </c>
      <c r="T106" s="30">
        <f t="shared" si="17"/>
        <v>88219.42333333334</v>
      </c>
      <c r="U106" s="30">
        <f t="shared" si="19"/>
        <v>0</v>
      </c>
      <c r="V106" s="30">
        <f t="shared" si="19"/>
        <v>0</v>
      </c>
      <c r="W106" s="30">
        <f t="shared" si="19"/>
        <v>0</v>
      </c>
      <c r="X106" s="30">
        <f t="shared" si="19"/>
        <v>0</v>
      </c>
      <c r="Y106" s="30">
        <f t="shared" si="19"/>
        <v>0</v>
      </c>
      <c r="Z106" s="30">
        <f t="shared" si="19"/>
        <v>0</v>
      </c>
      <c r="AA106" s="30">
        <f t="shared" si="19"/>
        <v>0</v>
      </c>
      <c r="AB106" s="39">
        <f t="shared" si="14"/>
        <v>0</v>
      </c>
    </row>
    <row r="107" spans="1:28">
      <c r="A107" s="168">
        <v>4016</v>
      </c>
      <c r="B107" s="2">
        <v>141003</v>
      </c>
      <c r="C107" s="2" t="s">
        <v>308</v>
      </c>
      <c r="E107" s="171">
        <v>0</v>
      </c>
      <c r="F107" s="171">
        <v>0</v>
      </c>
      <c r="G107" s="163"/>
      <c r="H107" s="171">
        <v>20242.436666666665</v>
      </c>
      <c r="I107" s="171">
        <v>398.89666666666608</v>
      </c>
      <c r="J107" s="171">
        <v>15522.666666666666</v>
      </c>
      <c r="K107" s="163"/>
      <c r="L107" s="171">
        <v>0</v>
      </c>
      <c r="M107" s="171">
        <v>0</v>
      </c>
      <c r="N107" s="171">
        <v>0</v>
      </c>
      <c r="O107" s="164">
        <v>0</v>
      </c>
      <c r="P107" s="164">
        <v>0</v>
      </c>
      <c r="Q107" s="172">
        <f t="shared" si="15"/>
        <v>36164</v>
      </c>
      <c r="S107" s="30">
        <f t="shared" si="17"/>
        <v>0</v>
      </c>
      <c r="T107" s="30">
        <f t="shared" si="17"/>
        <v>36164</v>
      </c>
      <c r="U107" s="30">
        <f t="shared" si="19"/>
        <v>0</v>
      </c>
      <c r="V107" s="30">
        <f t="shared" si="19"/>
        <v>0</v>
      </c>
      <c r="W107" s="30">
        <f t="shared" si="19"/>
        <v>0</v>
      </c>
      <c r="X107" s="30">
        <f t="shared" si="19"/>
        <v>0</v>
      </c>
      <c r="Y107" s="30">
        <f t="shared" si="19"/>
        <v>0</v>
      </c>
      <c r="Z107" s="30">
        <f t="shared" si="19"/>
        <v>0</v>
      </c>
      <c r="AA107" s="30">
        <f t="shared" si="19"/>
        <v>0</v>
      </c>
      <c r="AB107" s="39">
        <f t="shared" si="14"/>
        <v>0</v>
      </c>
    </row>
    <row r="108" spans="1:28">
      <c r="A108" s="168">
        <v>5408</v>
      </c>
      <c r="B108" s="2">
        <v>137043</v>
      </c>
      <c r="C108" s="2" t="s">
        <v>309</v>
      </c>
      <c r="E108" s="171">
        <v>0</v>
      </c>
      <c r="F108" s="171">
        <v>0</v>
      </c>
      <c r="G108" s="163"/>
      <c r="H108" s="171">
        <v>4777.08</v>
      </c>
      <c r="I108" s="171">
        <v>95.919999999999845</v>
      </c>
      <c r="J108" s="171">
        <v>4430</v>
      </c>
      <c r="K108" s="163"/>
      <c r="L108" s="171">
        <v>0</v>
      </c>
      <c r="M108" s="171">
        <v>0</v>
      </c>
      <c r="N108" s="171">
        <v>0</v>
      </c>
      <c r="O108" s="164">
        <v>0</v>
      </c>
      <c r="P108" s="164">
        <v>0</v>
      </c>
      <c r="Q108" s="172">
        <f t="shared" si="15"/>
        <v>9303</v>
      </c>
      <c r="S108" s="30">
        <f t="shared" si="17"/>
        <v>0</v>
      </c>
      <c r="T108" s="30">
        <f t="shared" si="17"/>
        <v>9303</v>
      </c>
      <c r="U108" s="30">
        <f t="shared" si="19"/>
        <v>0</v>
      </c>
      <c r="V108" s="30">
        <f t="shared" si="19"/>
        <v>0</v>
      </c>
      <c r="W108" s="30">
        <f t="shared" si="19"/>
        <v>0</v>
      </c>
      <c r="X108" s="30">
        <f t="shared" si="19"/>
        <v>0</v>
      </c>
      <c r="Y108" s="30">
        <f t="shared" si="19"/>
        <v>0</v>
      </c>
      <c r="Z108" s="30">
        <f t="shared" si="19"/>
        <v>0</v>
      </c>
      <c r="AA108" s="30">
        <f t="shared" si="19"/>
        <v>0</v>
      </c>
      <c r="AB108" s="39">
        <f t="shared" si="14"/>
        <v>0</v>
      </c>
    </row>
    <row r="109" spans="1:28">
      <c r="A109" s="168">
        <v>4036</v>
      </c>
      <c r="B109" s="2">
        <v>147440</v>
      </c>
      <c r="C109" s="2" t="s">
        <v>310</v>
      </c>
      <c r="E109" s="171">
        <v>0</v>
      </c>
      <c r="F109" s="171">
        <v>0</v>
      </c>
      <c r="G109" s="163"/>
      <c r="H109" s="171">
        <v>53657.706666666665</v>
      </c>
      <c r="I109" s="171">
        <v>1079.2933333333315</v>
      </c>
      <c r="J109" s="171">
        <v>83000.996666666644</v>
      </c>
      <c r="K109" s="163"/>
      <c r="L109" s="171">
        <v>0</v>
      </c>
      <c r="M109" s="171">
        <v>0</v>
      </c>
      <c r="N109" s="171">
        <v>0</v>
      </c>
      <c r="O109" s="164">
        <v>0</v>
      </c>
      <c r="P109" s="164">
        <v>0</v>
      </c>
      <c r="Q109" s="172">
        <f t="shared" si="15"/>
        <v>137737.99666666664</v>
      </c>
      <c r="S109" s="30">
        <f t="shared" si="17"/>
        <v>0</v>
      </c>
      <c r="T109" s="30">
        <f t="shared" si="17"/>
        <v>137737.99666666664</v>
      </c>
      <c r="U109" s="30">
        <f t="shared" si="19"/>
        <v>0</v>
      </c>
      <c r="V109" s="30">
        <f t="shared" si="19"/>
        <v>0</v>
      </c>
      <c r="W109" s="30">
        <f t="shared" si="19"/>
        <v>0</v>
      </c>
      <c r="X109" s="30">
        <f t="shared" si="19"/>
        <v>0</v>
      </c>
      <c r="Y109" s="30">
        <f t="shared" si="19"/>
        <v>0</v>
      </c>
      <c r="Z109" s="30">
        <f t="shared" si="19"/>
        <v>0</v>
      </c>
      <c r="AA109" s="30">
        <f t="shared" si="19"/>
        <v>0</v>
      </c>
      <c r="AB109" s="39">
        <f t="shared" si="14"/>
        <v>0</v>
      </c>
    </row>
    <row r="110" spans="1:28">
      <c r="A110" s="168">
        <v>5407</v>
      </c>
      <c r="B110" s="2">
        <v>137045</v>
      </c>
      <c r="C110" s="2" t="s">
        <v>311</v>
      </c>
      <c r="E110" s="171">
        <v>0</v>
      </c>
      <c r="F110" s="171">
        <v>0</v>
      </c>
      <c r="G110" s="163"/>
      <c r="H110" s="171">
        <v>1954.26</v>
      </c>
      <c r="I110" s="171">
        <v>41.073333333333267</v>
      </c>
      <c r="J110" s="171">
        <v>3767.333333333333</v>
      </c>
      <c r="K110" s="163"/>
      <c r="L110" s="171">
        <v>0</v>
      </c>
      <c r="M110" s="171">
        <v>0</v>
      </c>
      <c r="N110" s="171">
        <v>0</v>
      </c>
      <c r="O110" s="164">
        <v>0</v>
      </c>
      <c r="P110" s="164">
        <v>0</v>
      </c>
      <c r="Q110" s="172">
        <f t="shared" si="15"/>
        <v>5762.6666666666661</v>
      </c>
      <c r="S110" s="30">
        <f t="shared" ref="S110:T129" si="20">SUMIF($E$3:$P$3,S$6,$E110:$P110)</f>
        <v>0</v>
      </c>
      <c r="T110" s="30">
        <f t="shared" si="20"/>
        <v>5762.6666666666661</v>
      </c>
      <c r="U110" s="30">
        <f t="shared" ref="U110:AA119" si="21">SUMIF($E$3:$O$3,U$6,$E110:$O110)</f>
        <v>0</v>
      </c>
      <c r="V110" s="30">
        <f t="shared" si="21"/>
        <v>0</v>
      </c>
      <c r="W110" s="30">
        <f t="shared" si="21"/>
        <v>0</v>
      </c>
      <c r="X110" s="30">
        <f t="shared" si="21"/>
        <v>0</v>
      </c>
      <c r="Y110" s="30">
        <f t="shared" si="21"/>
        <v>0</v>
      </c>
      <c r="Z110" s="30">
        <f t="shared" si="21"/>
        <v>0</v>
      </c>
      <c r="AA110" s="30">
        <f t="shared" si="21"/>
        <v>0</v>
      </c>
      <c r="AB110" s="39">
        <f t="shared" si="14"/>
        <v>0</v>
      </c>
    </row>
    <row r="111" spans="1:28">
      <c r="A111" s="168">
        <v>5406</v>
      </c>
      <c r="B111" s="2">
        <v>137044</v>
      </c>
      <c r="C111" s="2" t="s">
        <v>312</v>
      </c>
      <c r="E111" s="171">
        <v>0</v>
      </c>
      <c r="F111" s="171">
        <v>9948</v>
      </c>
      <c r="G111" s="163"/>
      <c r="H111" s="171">
        <v>7057.05</v>
      </c>
      <c r="I111" s="171">
        <v>141.61666666666633</v>
      </c>
      <c r="J111" s="171">
        <v>8306.003333333334</v>
      </c>
      <c r="K111" s="163"/>
      <c r="L111" s="171">
        <v>0</v>
      </c>
      <c r="M111" s="171">
        <v>0</v>
      </c>
      <c r="N111" s="171">
        <v>0</v>
      </c>
      <c r="O111" s="164">
        <v>0</v>
      </c>
      <c r="P111" s="164">
        <v>0</v>
      </c>
      <c r="Q111" s="172">
        <f t="shared" si="15"/>
        <v>25452.67</v>
      </c>
      <c r="S111" s="30">
        <f t="shared" si="20"/>
        <v>0</v>
      </c>
      <c r="T111" s="30">
        <f t="shared" si="20"/>
        <v>25452.67</v>
      </c>
      <c r="U111" s="30">
        <f t="shared" si="21"/>
        <v>0</v>
      </c>
      <c r="V111" s="30">
        <f t="shared" si="21"/>
        <v>0</v>
      </c>
      <c r="W111" s="30">
        <f t="shared" si="21"/>
        <v>0</v>
      </c>
      <c r="X111" s="30">
        <f t="shared" si="21"/>
        <v>0</v>
      </c>
      <c r="Y111" s="30">
        <f t="shared" si="21"/>
        <v>0</v>
      </c>
      <c r="Z111" s="30">
        <f t="shared" si="21"/>
        <v>0</v>
      </c>
      <c r="AA111" s="30">
        <f t="shared" si="21"/>
        <v>0</v>
      </c>
      <c r="AB111" s="39">
        <f t="shared" si="14"/>
        <v>0</v>
      </c>
    </row>
    <row r="112" spans="1:28">
      <c r="A112" s="168">
        <v>5405</v>
      </c>
      <c r="B112" s="2">
        <v>137046</v>
      </c>
      <c r="C112" s="2" t="s">
        <v>313</v>
      </c>
      <c r="E112" s="171">
        <v>0</v>
      </c>
      <c r="F112" s="171">
        <v>0</v>
      </c>
      <c r="G112" s="163"/>
      <c r="H112" s="171">
        <v>9385.6</v>
      </c>
      <c r="I112" s="171">
        <v>174.39999999999964</v>
      </c>
      <c r="J112" s="171">
        <v>13990</v>
      </c>
      <c r="K112" s="163"/>
      <c r="L112" s="171">
        <v>0</v>
      </c>
      <c r="M112" s="171">
        <v>0</v>
      </c>
      <c r="N112" s="171">
        <v>0</v>
      </c>
      <c r="O112" s="164">
        <v>0</v>
      </c>
      <c r="P112" s="164">
        <v>0</v>
      </c>
      <c r="Q112" s="172">
        <f t="shared" si="15"/>
        <v>23550</v>
      </c>
      <c r="S112" s="30">
        <f t="shared" si="20"/>
        <v>0</v>
      </c>
      <c r="T112" s="30">
        <f t="shared" si="20"/>
        <v>23550</v>
      </c>
      <c r="U112" s="30">
        <f t="shared" si="21"/>
        <v>0</v>
      </c>
      <c r="V112" s="30">
        <f t="shared" si="21"/>
        <v>0</v>
      </c>
      <c r="W112" s="30">
        <f t="shared" si="21"/>
        <v>0</v>
      </c>
      <c r="X112" s="30">
        <f t="shared" si="21"/>
        <v>0</v>
      </c>
      <c r="Y112" s="30">
        <f t="shared" si="21"/>
        <v>0</v>
      </c>
      <c r="Z112" s="30">
        <f t="shared" si="21"/>
        <v>0</v>
      </c>
      <c r="AA112" s="30">
        <f t="shared" si="21"/>
        <v>0</v>
      </c>
      <c r="AB112" s="39">
        <f t="shared" si="14"/>
        <v>0</v>
      </c>
    </row>
    <row r="113" spans="1:28">
      <c r="A113" s="168">
        <v>5402</v>
      </c>
      <c r="B113" s="2">
        <v>143562</v>
      </c>
      <c r="C113" s="2" t="s">
        <v>314</v>
      </c>
      <c r="E113" s="171">
        <v>0</v>
      </c>
      <c r="F113" s="171">
        <v>0</v>
      </c>
      <c r="G113" s="163"/>
      <c r="H113" s="171">
        <v>-2171.4</v>
      </c>
      <c r="I113" s="171">
        <v>0</v>
      </c>
      <c r="J113" s="171">
        <v>0</v>
      </c>
      <c r="K113" s="163"/>
      <c r="L113" s="171">
        <v>0</v>
      </c>
      <c r="M113" s="171">
        <v>0</v>
      </c>
      <c r="N113" s="171">
        <v>0</v>
      </c>
      <c r="O113" s="164">
        <v>0</v>
      </c>
      <c r="P113" s="164">
        <v>0</v>
      </c>
      <c r="Q113" s="172">
        <f t="shared" si="15"/>
        <v>-2171.4</v>
      </c>
      <c r="S113" s="30">
        <f t="shared" si="20"/>
        <v>0</v>
      </c>
      <c r="T113" s="30">
        <f t="shared" si="20"/>
        <v>-2171.4</v>
      </c>
      <c r="U113" s="30">
        <f t="shared" si="21"/>
        <v>0</v>
      </c>
      <c r="V113" s="30">
        <f t="shared" si="21"/>
        <v>0</v>
      </c>
      <c r="W113" s="30">
        <f t="shared" si="21"/>
        <v>0</v>
      </c>
      <c r="X113" s="30">
        <f t="shared" si="21"/>
        <v>0</v>
      </c>
      <c r="Y113" s="30">
        <f t="shared" si="21"/>
        <v>0</v>
      </c>
      <c r="Z113" s="30">
        <f t="shared" si="21"/>
        <v>0</v>
      </c>
      <c r="AA113" s="30">
        <f t="shared" si="21"/>
        <v>0</v>
      </c>
      <c r="AB113" s="39">
        <f t="shared" si="14"/>
        <v>0</v>
      </c>
    </row>
    <row r="114" spans="1:28">
      <c r="A114" s="168">
        <v>5404</v>
      </c>
      <c r="B114" s="2">
        <v>137047</v>
      </c>
      <c r="C114" s="2" t="s">
        <v>315</v>
      </c>
      <c r="E114" s="171">
        <v>0</v>
      </c>
      <c r="F114" s="171">
        <v>0</v>
      </c>
      <c r="G114" s="163"/>
      <c r="H114" s="171">
        <v>9771.2999999999993</v>
      </c>
      <c r="I114" s="171">
        <v>141.61666666666633</v>
      </c>
      <c r="J114" s="171">
        <v>9969.3333333333321</v>
      </c>
      <c r="K114" s="163"/>
      <c r="L114" s="171">
        <v>0</v>
      </c>
      <c r="M114" s="171">
        <v>0</v>
      </c>
      <c r="N114" s="171">
        <v>0</v>
      </c>
      <c r="O114" s="164">
        <v>0</v>
      </c>
      <c r="P114" s="164">
        <v>0</v>
      </c>
      <c r="Q114" s="172">
        <f t="shared" si="15"/>
        <v>19882.25</v>
      </c>
      <c r="S114" s="30">
        <f t="shared" si="20"/>
        <v>0</v>
      </c>
      <c r="T114" s="30">
        <f t="shared" si="20"/>
        <v>19882.25</v>
      </c>
      <c r="U114" s="30">
        <f t="shared" si="21"/>
        <v>0</v>
      </c>
      <c r="V114" s="30">
        <f t="shared" si="21"/>
        <v>0</v>
      </c>
      <c r="W114" s="30">
        <f t="shared" si="21"/>
        <v>0</v>
      </c>
      <c r="X114" s="30">
        <f t="shared" si="21"/>
        <v>0</v>
      </c>
      <c r="Y114" s="30">
        <f t="shared" si="21"/>
        <v>0</v>
      </c>
      <c r="Z114" s="30">
        <f t="shared" si="21"/>
        <v>0</v>
      </c>
      <c r="AA114" s="30">
        <f t="shared" si="21"/>
        <v>0</v>
      </c>
      <c r="AB114" s="39">
        <f t="shared" si="14"/>
        <v>0</v>
      </c>
    </row>
    <row r="115" spans="1:28">
      <c r="A115" s="168">
        <v>4207</v>
      </c>
      <c r="B115" s="2">
        <v>138937</v>
      </c>
      <c r="C115" s="2" t="s">
        <v>316</v>
      </c>
      <c r="E115" s="171">
        <v>0</v>
      </c>
      <c r="F115" s="171">
        <v>0</v>
      </c>
      <c r="G115" s="163"/>
      <c r="H115" s="171">
        <v>8902.74</v>
      </c>
      <c r="I115" s="171">
        <v>178.49013333333301</v>
      </c>
      <c r="J115" s="171">
        <v>9858.33</v>
      </c>
      <c r="K115" s="163"/>
      <c r="L115" s="171">
        <v>0</v>
      </c>
      <c r="M115" s="171">
        <v>0</v>
      </c>
      <c r="N115" s="171">
        <v>0</v>
      </c>
      <c r="O115" s="164">
        <v>0</v>
      </c>
      <c r="P115" s="164">
        <v>0</v>
      </c>
      <c r="Q115" s="172">
        <f t="shared" si="15"/>
        <v>18939.560133333332</v>
      </c>
      <c r="S115" s="30">
        <f t="shared" si="20"/>
        <v>0</v>
      </c>
      <c r="T115" s="30">
        <f t="shared" si="20"/>
        <v>18939.560133333332</v>
      </c>
      <c r="U115" s="30">
        <f t="shared" si="21"/>
        <v>0</v>
      </c>
      <c r="V115" s="30">
        <f t="shared" si="21"/>
        <v>0</v>
      </c>
      <c r="W115" s="30">
        <f t="shared" si="21"/>
        <v>0</v>
      </c>
      <c r="X115" s="30">
        <f t="shared" si="21"/>
        <v>0</v>
      </c>
      <c r="Y115" s="30">
        <f t="shared" si="21"/>
        <v>0</v>
      </c>
      <c r="Z115" s="30">
        <f t="shared" si="21"/>
        <v>0</v>
      </c>
      <c r="AA115" s="30">
        <f t="shared" si="21"/>
        <v>0</v>
      </c>
      <c r="AB115" s="39">
        <f t="shared" si="14"/>
        <v>0</v>
      </c>
    </row>
    <row r="116" spans="1:28">
      <c r="A116" s="168">
        <v>5415</v>
      </c>
      <c r="B116" s="2">
        <v>150320</v>
      </c>
      <c r="C116" s="2" t="s">
        <v>317</v>
      </c>
      <c r="E116" s="171">
        <v>0</v>
      </c>
      <c r="F116" s="171">
        <v>0</v>
      </c>
      <c r="G116" s="163"/>
      <c r="H116" s="171">
        <v>45305.120000000003</v>
      </c>
      <c r="I116" s="171">
        <v>911.21333333333155</v>
      </c>
      <c r="J116" s="171">
        <v>45105.996666666666</v>
      </c>
      <c r="K116" s="163"/>
      <c r="L116" s="171">
        <v>29397.841666666671</v>
      </c>
      <c r="M116" s="171">
        <v>0</v>
      </c>
      <c r="N116" s="171">
        <v>15799.845833333336</v>
      </c>
      <c r="O116" s="164">
        <v>0</v>
      </c>
      <c r="P116" s="164">
        <v>0</v>
      </c>
      <c r="Q116" s="172">
        <f t="shared" si="15"/>
        <v>136520.01750000002</v>
      </c>
      <c r="S116" s="30">
        <f t="shared" si="20"/>
        <v>45197.687500000007</v>
      </c>
      <c r="T116" s="30">
        <f t="shared" si="20"/>
        <v>91322.33</v>
      </c>
      <c r="U116" s="30">
        <f t="shared" si="21"/>
        <v>0</v>
      </c>
      <c r="V116" s="30">
        <f t="shared" si="21"/>
        <v>0</v>
      </c>
      <c r="W116" s="30">
        <f t="shared" si="21"/>
        <v>0</v>
      </c>
      <c r="X116" s="30">
        <f t="shared" si="21"/>
        <v>0</v>
      </c>
      <c r="Y116" s="30">
        <f t="shared" si="21"/>
        <v>0</v>
      </c>
      <c r="Z116" s="30">
        <f t="shared" si="21"/>
        <v>0</v>
      </c>
      <c r="AA116" s="30">
        <f t="shared" si="21"/>
        <v>0</v>
      </c>
      <c r="AB116" s="39">
        <f t="shared" si="14"/>
        <v>0</v>
      </c>
    </row>
    <row r="117" spans="1:28">
      <c r="A117" s="168">
        <v>4060</v>
      </c>
      <c r="B117" s="2">
        <v>136592</v>
      </c>
      <c r="C117" s="2" t="s">
        <v>318</v>
      </c>
      <c r="E117" s="171">
        <v>0</v>
      </c>
      <c r="F117" s="171">
        <v>0</v>
      </c>
      <c r="G117" s="163"/>
      <c r="H117" s="171">
        <v>23450.359999999997</v>
      </c>
      <c r="I117" s="171">
        <v>366.23999999999978</v>
      </c>
      <c r="J117" s="171">
        <v>19713.333333333332</v>
      </c>
      <c r="K117" s="163"/>
      <c r="L117" s="171">
        <v>0</v>
      </c>
      <c r="M117" s="171">
        <v>0</v>
      </c>
      <c r="N117" s="171">
        <v>0</v>
      </c>
      <c r="O117" s="164">
        <v>0</v>
      </c>
      <c r="P117" s="164">
        <v>0</v>
      </c>
      <c r="Q117" s="172">
        <f t="shared" si="15"/>
        <v>43529.933333333334</v>
      </c>
      <c r="S117" s="30">
        <f t="shared" si="20"/>
        <v>0</v>
      </c>
      <c r="T117" s="30">
        <f t="shared" si="20"/>
        <v>43529.933333333334</v>
      </c>
      <c r="U117" s="30">
        <f t="shared" si="21"/>
        <v>0</v>
      </c>
      <c r="V117" s="30">
        <f t="shared" si="21"/>
        <v>0</v>
      </c>
      <c r="W117" s="30">
        <f t="shared" si="21"/>
        <v>0</v>
      </c>
      <c r="X117" s="30">
        <f t="shared" si="21"/>
        <v>0</v>
      </c>
      <c r="Y117" s="30">
        <f t="shared" si="21"/>
        <v>0</v>
      </c>
      <c r="Z117" s="30">
        <f t="shared" si="21"/>
        <v>0</v>
      </c>
      <c r="AA117" s="30">
        <f t="shared" si="21"/>
        <v>0</v>
      </c>
      <c r="AB117" s="39">
        <f t="shared" si="14"/>
        <v>0</v>
      </c>
    </row>
    <row r="118" spans="1:28">
      <c r="A118" s="168">
        <v>4187</v>
      </c>
      <c r="B118" s="2">
        <v>148684</v>
      </c>
      <c r="C118" s="2" t="s">
        <v>319</v>
      </c>
      <c r="E118" s="171">
        <v>0</v>
      </c>
      <c r="F118" s="171">
        <v>0</v>
      </c>
      <c r="G118" s="163"/>
      <c r="H118" s="171">
        <v>41094.846666666665</v>
      </c>
      <c r="I118" s="171">
        <v>659.63333333333208</v>
      </c>
      <c r="J118" s="171">
        <v>56063.333333333336</v>
      </c>
      <c r="K118" s="163"/>
      <c r="L118" s="171">
        <v>0</v>
      </c>
      <c r="M118" s="171">
        <v>0</v>
      </c>
      <c r="N118" s="171">
        <v>0</v>
      </c>
      <c r="O118" s="164">
        <v>0</v>
      </c>
      <c r="P118" s="164">
        <v>0</v>
      </c>
      <c r="Q118" s="172">
        <f t="shared" si="15"/>
        <v>97817.813333333324</v>
      </c>
      <c r="S118" s="30">
        <f t="shared" si="20"/>
        <v>0</v>
      </c>
      <c r="T118" s="30">
        <f t="shared" si="20"/>
        <v>97817.813333333324</v>
      </c>
      <c r="U118" s="30">
        <f t="shared" si="21"/>
        <v>0</v>
      </c>
      <c r="V118" s="30">
        <f t="shared" si="21"/>
        <v>0</v>
      </c>
      <c r="W118" s="30">
        <f t="shared" si="21"/>
        <v>0</v>
      </c>
      <c r="X118" s="30">
        <f t="shared" si="21"/>
        <v>0</v>
      </c>
      <c r="Y118" s="30">
        <f t="shared" si="21"/>
        <v>0</v>
      </c>
      <c r="Z118" s="30">
        <f t="shared" si="21"/>
        <v>0</v>
      </c>
      <c r="AA118" s="30">
        <f t="shared" si="21"/>
        <v>0</v>
      </c>
      <c r="AB118" s="39">
        <f t="shared" si="14"/>
        <v>0</v>
      </c>
    </row>
    <row r="119" spans="1:28">
      <c r="A119" s="168">
        <v>6906</v>
      </c>
      <c r="B119" s="2">
        <v>136152</v>
      </c>
      <c r="C119" s="2" t="s">
        <v>320</v>
      </c>
      <c r="E119" s="171">
        <v>0</v>
      </c>
      <c r="F119" s="171">
        <v>0</v>
      </c>
      <c r="G119" s="163"/>
      <c r="H119" s="171">
        <v>52761.056666666671</v>
      </c>
      <c r="I119" s="171">
        <v>885.8766666666661</v>
      </c>
      <c r="J119" s="171">
        <v>58940.000000000007</v>
      </c>
      <c r="K119" s="163"/>
      <c r="L119" s="171">
        <v>0</v>
      </c>
      <c r="M119" s="171">
        <v>0</v>
      </c>
      <c r="N119" s="171">
        <v>0</v>
      </c>
      <c r="O119" s="164">
        <v>0</v>
      </c>
      <c r="P119" s="164">
        <v>0</v>
      </c>
      <c r="Q119" s="172">
        <f t="shared" si="15"/>
        <v>112586.93333333335</v>
      </c>
      <c r="S119" s="30">
        <f t="shared" si="20"/>
        <v>0</v>
      </c>
      <c r="T119" s="30">
        <f t="shared" si="20"/>
        <v>112586.93333333335</v>
      </c>
      <c r="U119" s="30">
        <f t="shared" si="21"/>
        <v>0</v>
      </c>
      <c r="V119" s="30">
        <f t="shared" si="21"/>
        <v>0</v>
      </c>
      <c r="W119" s="30">
        <f t="shared" si="21"/>
        <v>0</v>
      </c>
      <c r="X119" s="30">
        <f t="shared" si="21"/>
        <v>0</v>
      </c>
      <c r="Y119" s="30">
        <f t="shared" si="21"/>
        <v>0</v>
      </c>
      <c r="Z119" s="30">
        <f t="shared" si="21"/>
        <v>0</v>
      </c>
      <c r="AA119" s="30">
        <f t="shared" si="21"/>
        <v>0</v>
      </c>
      <c r="AB119" s="39">
        <f t="shared" si="14"/>
        <v>0</v>
      </c>
    </row>
    <row r="120" spans="1:28">
      <c r="A120" s="168">
        <v>5414</v>
      </c>
      <c r="B120" s="2">
        <v>136590</v>
      </c>
      <c r="C120" s="2" t="s">
        <v>321</v>
      </c>
      <c r="E120" s="171">
        <v>0</v>
      </c>
      <c r="F120" s="171">
        <v>0</v>
      </c>
      <c r="G120" s="163"/>
      <c r="H120" s="171">
        <v>55210.073333333334</v>
      </c>
      <c r="I120" s="171">
        <v>931.14326666666466</v>
      </c>
      <c r="J120" s="171">
        <v>62138.336666666648</v>
      </c>
      <c r="K120" s="163"/>
      <c r="L120" s="171">
        <v>10499.229166666668</v>
      </c>
      <c r="M120" s="171">
        <v>0</v>
      </c>
      <c r="N120" s="171">
        <v>0</v>
      </c>
      <c r="O120" s="164">
        <v>0</v>
      </c>
      <c r="P120" s="164">
        <v>0</v>
      </c>
      <c r="Q120" s="172">
        <f t="shared" si="15"/>
        <v>128778.78243333333</v>
      </c>
      <c r="S120" s="30">
        <f t="shared" si="20"/>
        <v>10499.229166666668</v>
      </c>
      <c r="T120" s="30">
        <f t="shared" si="20"/>
        <v>118279.55326666665</v>
      </c>
      <c r="U120" s="30">
        <f t="shared" ref="U120:AA129" si="22">SUMIF($E$3:$O$3,U$6,$E120:$O120)</f>
        <v>0</v>
      </c>
      <c r="V120" s="30">
        <f t="shared" si="22"/>
        <v>0</v>
      </c>
      <c r="W120" s="30">
        <f t="shared" si="22"/>
        <v>0</v>
      </c>
      <c r="X120" s="30">
        <f t="shared" si="22"/>
        <v>0</v>
      </c>
      <c r="Y120" s="30">
        <f t="shared" si="22"/>
        <v>0</v>
      </c>
      <c r="Z120" s="30">
        <f t="shared" si="22"/>
        <v>0</v>
      </c>
      <c r="AA120" s="30">
        <f t="shared" si="22"/>
        <v>0</v>
      </c>
      <c r="AB120" s="39">
        <f t="shared" si="14"/>
        <v>0</v>
      </c>
    </row>
    <row r="121" spans="1:28">
      <c r="A121" s="168">
        <v>2209</v>
      </c>
      <c r="B121" s="2">
        <v>149131</v>
      </c>
      <c r="C121" s="2" t="s">
        <v>322</v>
      </c>
      <c r="E121" s="171">
        <v>0</v>
      </c>
      <c r="F121" s="171">
        <v>0</v>
      </c>
      <c r="G121" s="163"/>
      <c r="H121" s="171">
        <v>73974.8</v>
      </c>
      <c r="I121" s="171">
        <v>1273.1999999999975</v>
      </c>
      <c r="J121" s="171">
        <v>45821.666666666664</v>
      </c>
      <c r="K121" s="163"/>
      <c r="L121" s="171">
        <v>0</v>
      </c>
      <c r="M121" s="171">
        <v>0</v>
      </c>
      <c r="N121" s="171">
        <v>0</v>
      </c>
      <c r="O121" s="164">
        <v>0</v>
      </c>
      <c r="P121" s="164">
        <v>0</v>
      </c>
      <c r="Q121" s="172">
        <f t="shared" si="15"/>
        <v>121069.66666666666</v>
      </c>
      <c r="S121" s="30">
        <f t="shared" si="20"/>
        <v>0</v>
      </c>
      <c r="T121" s="30">
        <f t="shared" si="20"/>
        <v>121069.66666666666</v>
      </c>
      <c r="U121" s="30">
        <f t="shared" si="22"/>
        <v>0</v>
      </c>
      <c r="V121" s="30">
        <f t="shared" si="22"/>
        <v>0</v>
      </c>
      <c r="W121" s="30">
        <f t="shared" si="22"/>
        <v>0</v>
      </c>
      <c r="X121" s="30">
        <f t="shared" si="22"/>
        <v>0</v>
      </c>
      <c r="Y121" s="30">
        <f t="shared" si="22"/>
        <v>0</v>
      </c>
      <c r="Z121" s="30">
        <f t="shared" si="22"/>
        <v>0</v>
      </c>
      <c r="AA121" s="30">
        <f t="shared" si="22"/>
        <v>0</v>
      </c>
      <c r="AB121" s="39">
        <f t="shared" si="14"/>
        <v>0</v>
      </c>
    </row>
    <row r="122" spans="1:28">
      <c r="A122" s="168">
        <v>2073</v>
      </c>
      <c r="B122" s="2">
        <v>138889</v>
      </c>
      <c r="C122" s="2" t="s">
        <v>323</v>
      </c>
      <c r="E122" s="171">
        <v>0</v>
      </c>
      <c r="F122" s="171">
        <v>0</v>
      </c>
      <c r="G122" s="163"/>
      <c r="H122" s="171">
        <v>36788.336666666662</v>
      </c>
      <c r="I122" s="171">
        <v>725.21766666666531</v>
      </c>
      <c r="J122" s="171">
        <v>31942.00333333333</v>
      </c>
      <c r="K122" s="163"/>
      <c r="L122" s="171">
        <v>0</v>
      </c>
      <c r="M122" s="171">
        <v>0</v>
      </c>
      <c r="N122" s="171">
        <v>0</v>
      </c>
      <c r="O122" s="164">
        <v>0</v>
      </c>
      <c r="P122" s="164">
        <v>0</v>
      </c>
      <c r="Q122" s="172">
        <f t="shared" si="15"/>
        <v>69455.55766666666</v>
      </c>
      <c r="S122" s="30">
        <f t="shared" si="20"/>
        <v>0</v>
      </c>
      <c r="T122" s="30">
        <f t="shared" si="20"/>
        <v>69455.55766666666</v>
      </c>
      <c r="U122" s="30">
        <f t="shared" si="22"/>
        <v>0</v>
      </c>
      <c r="V122" s="30">
        <f t="shared" si="22"/>
        <v>0</v>
      </c>
      <c r="W122" s="30">
        <f t="shared" si="22"/>
        <v>0</v>
      </c>
      <c r="X122" s="30">
        <f t="shared" si="22"/>
        <v>0</v>
      </c>
      <c r="Y122" s="30">
        <f t="shared" si="22"/>
        <v>0</v>
      </c>
      <c r="Z122" s="30">
        <f t="shared" si="22"/>
        <v>0</v>
      </c>
      <c r="AA122" s="30">
        <f t="shared" si="22"/>
        <v>0</v>
      </c>
      <c r="AB122" s="39">
        <f t="shared" si="14"/>
        <v>0</v>
      </c>
    </row>
    <row r="123" spans="1:28">
      <c r="A123" s="168">
        <v>2119</v>
      </c>
      <c r="B123" s="2">
        <v>150181</v>
      </c>
      <c r="C123" s="2" t="s">
        <v>324</v>
      </c>
      <c r="E123" s="171">
        <v>0</v>
      </c>
      <c r="F123" s="171">
        <v>0</v>
      </c>
      <c r="G123" s="163"/>
      <c r="H123" s="171">
        <v>34223.85</v>
      </c>
      <c r="I123" s="171">
        <v>557.31666666666615</v>
      </c>
      <c r="J123" s="171">
        <v>27498.67</v>
      </c>
      <c r="K123" s="163"/>
      <c r="L123" s="171">
        <v>0</v>
      </c>
      <c r="M123" s="171">
        <v>0</v>
      </c>
      <c r="N123" s="171">
        <v>0</v>
      </c>
      <c r="O123" s="164">
        <v>0</v>
      </c>
      <c r="P123" s="164">
        <v>0</v>
      </c>
      <c r="Q123" s="172">
        <f t="shared" si="15"/>
        <v>62279.836666666662</v>
      </c>
      <c r="S123" s="30">
        <f t="shared" si="20"/>
        <v>0</v>
      </c>
      <c r="T123" s="30">
        <f t="shared" si="20"/>
        <v>62279.836666666662</v>
      </c>
      <c r="U123" s="30">
        <f t="shared" si="22"/>
        <v>0</v>
      </c>
      <c r="V123" s="30">
        <f t="shared" si="22"/>
        <v>0</v>
      </c>
      <c r="W123" s="30">
        <f t="shared" si="22"/>
        <v>0</v>
      </c>
      <c r="X123" s="30">
        <f t="shared" si="22"/>
        <v>0</v>
      </c>
      <c r="Y123" s="30">
        <f t="shared" si="22"/>
        <v>0</v>
      </c>
      <c r="Z123" s="30">
        <f t="shared" si="22"/>
        <v>0</v>
      </c>
      <c r="AA123" s="30">
        <f t="shared" si="22"/>
        <v>0</v>
      </c>
      <c r="AB123" s="39">
        <f t="shared" si="14"/>
        <v>0</v>
      </c>
    </row>
    <row r="124" spans="1:28">
      <c r="A124" s="168">
        <v>2096</v>
      </c>
      <c r="B124" s="2">
        <v>139003</v>
      </c>
      <c r="C124" s="2" t="s">
        <v>325</v>
      </c>
      <c r="E124" s="171">
        <v>0</v>
      </c>
      <c r="F124" s="171">
        <v>0</v>
      </c>
      <c r="G124" s="163"/>
      <c r="H124" s="171">
        <v>64589.826666666668</v>
      </c>
      <c r="I124" s="171">
        <v>901.49333333333175</v>
      </c>
      <c r="J124" s="171">
        <v>62470.999999999993</v>
      </c>
      <c r="K124" s="163"/>
      <c r="L124" s="171">
        <v>0</v>
      </c>
      <c r="M124" s="171">
        <v>0</v>
      </c>
      <c r="N124" s="171">
        <v>0</v>
      </c>
      <c r="O124" s="164">
        <v>0</v>
      </c>
      <c r="P124" s="164">
        <v>0</v>
      </c>
      <c r="Q124" s="172">
        <f t="shared" si="15"/>
        <v>127962.31999999999</v>
      </c>
      <c r="S124" s="30">
        <f t="shared" si="20"/>
        <v>0</v>
      </c>
      <c r="T124" s="30">
        <f t="shared" si="20"/>
        <v>127962.31999999999</v>
      </c>
      <c r="U124" s="30">
        <f t="shared" si="22"/>
        <v>0</v>
      </c>
      <c r="V124" s="30">
        <f t="shared" si="22"/>
        <v>0</v>
      </c>
      <c r="W124" s="30">
        <f t="shared" si="22"/>
        <v>0</v>
      </c>
      <c r="X124" s="30">
        <f t="shared" si="22"/>
        <v>0</v>
      </c>
      <c r="Y124" s="30">
        <f t="shared" si="22"/>
        <v>0</v>
      </c>
      <c r="Z124" s="30">
        <f t="shared" si="22"/>
        <v>0</v>
      </c>
      <c r="AA124" s="30">
        <f t="shared" si="22"/>
        <v>0</v>
      </c>
      <c r="AB124" s="39">
        <f t="shared" si="14"/>
        <v>0</v>
      </c>
    </row>
    <row r="125" spans="1:28">
      <c r="A125" s="168">
        <v>7005</v>
      </c>
      <c r="B125" s="2">
        <v>148722</v>
      </c>
      <c r="C125" s="2" t="s">
        <v>326</v>
      </c>
      <c r="E125" s="171">
        <v>0</v>
      </c>
      <c r="F125" s="171">
        <v>0</v>
      </c>
      <c r="G125" s="163"/>
      <c r="H125" s="171">
        <v>0</v>
      </c>
      <c r="I125" s="171">
        <v>0</v>
      </c>
      <c r="J125" s="171">
        <v>0</v>
      </c>
      <c r="K125" s="163"/>
      <c r="L125" s="171">
        <v>0</v>
      </c>
      <c r="M125" s="171">
        <v>0</v>
      </c>
      <c r="N125" s="171">
        <v>0</v>
      </c>
      <c r="O125" s="164">
        <v>0</v>
      </c>
      <c r="P125" s="164">
        <v>0</v>
      </c>
      <c r="Q125" s="172">
        <f t="shared" si="15"/>
        <v>0</v>
      </c>
      <c r="S125" s="30">
        <f t="shared" si="20"/>
        <v>0</v>
      </c>
      <c r="T125" s="30">
        <f t="shared" si="20"/>
        <v>0</v>
      </c>
      <c r="U125" s="30">
        <f t="shared" si="22"/>
        <v>0</v>
      </c>
      <c r="V125" s="30">
        <f t="shared" si="22"/>
        <v>0</v>
      </c>
      <c r="W125" s="30">
        <f t="shared" si="22"/>
        <v>0</v>
      </c>
      <c r="X125" s="30">
        <f t="shared" si="22"/>
        <v>0</v>
      </c>
      <c r="Y125" s="30">
        <f t="shared" si="22"/>
        <v>0</v>
      </c>
      <c r="Z125" s="30">
        <f t="shared" si="22"/>
        <v>0</v>
      </c>
      <c r="AA125" s="30">
        <f t="shared" si="22"/>
        <v>0</v>
      </c>
      <c r="AB125" s="39">
        <f t="shared" si="14"/>
        <v>0</v>
      </c>
    </row>
    <row r="126" spans="1:28">
      <c r="A126" s="168">
        <v>2453</v>
      </c>
      <c r="B126" s="2">
        <v>140502</v>
      </c>
      <c r="C126" s="2" t="s">
        <v>327</v>
      </c>
      <c r="E126" s="171">
        <v>0</v>
      </c>
      <c r="F126" s="171">
        <v>0</v>
      </c>
      <c r="G126" s="163"/>
      <c r="H126" s="171">
        <v>54238.666666666664</v>
      </c>
      <c r="I126" s="171">
        <v>451.21666666666579</v>
      </c>
      <c r="J126" s="171">
        <v>30265.66333333333</v>
      </c>
      <c r="K126" s="163"/>
      <c r="L126" s="171">
        <v>0</v>
      </c>
      <c r="M126" s="171">
        <v>0</v>
      </c>
      <c r="N126" s="171">
        <v>0</v>
      </c>
      <c r="O126" s="164">
        <v>0</v>
      </c>
      <c r="P126" s="164">
        <v>0</v>
      </c>
      <c r="Q126" s="172">
        <f t="shared" si="15"/>
        <v>84955.546666666662</v>
      </c>
      <c r="S126" s="30">
        <f t="shared" si="20"/>
        <v>0</v>
      </c>
      <c r="T126" s="30">
        <f t="shared" si="20"/>
        <v>84955.546666666662</v>
      </c>
      <c r="U126" s="30">
        <f t="shared" si="22"/>
        <v>0</v>
      </c>
      <c r="V126" s="30">
        <f t="shared" si="22"/>
        <v>0</v>
      </c>
      <c r="W126" s="30">
        <f t="shared" si="22"/>
        <v>0</v>
      </c>
      <c r="X126" s="30">
        <f t="shared" si="22"/>
        <v>0</v>
      </c>
      <c r="Y126" s="30">
        <f t="shared" si="22"/>
        <v>0</v>
      </c>
      <c r="Z126" s="30">
        <f t="shared" si="22"/>
        <v>0</v>
      </c>
      <c r="AA126" s="30">
        <f t="shared" si="22"/>
        <v>0</v>
      </c>
      <c r="AB126" s="39">
        <f t="shared" si="14"/>
        <v>0</v>
      </c>
    </row>
    <row r="127" spans="1:28">
      <c r="A127" s="168">
        <v>2207</v>
      </c>
      <c r="B127" s="2">
        <v>148653</v>
      </c>
      <c r="C127" s="2" t="s">
        <v>328</v>
      </c>
      <c r="E127" s="171">
        <v>22050</v>
      </c>
      <c r="F127" s="171">
        <v>0</v>
      </c>
      <c r="G127" s="163"/>
      <c r="H127" s="171">
        <v>0</v>
      </c>
      <c r="I127" s="171">
        <v>0</v>
      </c>
      <c r="J127" s="171">
        <v>0</v>
      </c>
      <c r="K127" s="163"/>
      <c r="L127" s="171">
        <v>0</v>
      </c>
      <c r="M127" s="171">
        <v>0</v>
      </c>
      <c r="N127" s="171">
        <v>0</v>
      </c>
      <c r="O127" s="164">
        <v>0</v>
      </c>
      <c r="P127" s="164">
        <v>0</v>
      </c>
      <c r="Q127" s="172">
        <f t="shared" si="15"/>
        <v>22050</v>
      </c>
      <c r="S127" s="30">
        <f t="shared" si="20"/>
        <v>0</v>
      </c>
      <c r="T127" s="30">
        <f t="shared" si="20"/>
        <v>22050</v>
      </c>
      <c r="U127" s="30">
        <f t="shared" si="22"/>
        <v>0</v>
      </c>
      <c r="V127" s="30">
        <f t="shared" si="22"/>
        <v>0</v>
      </c>
      <c r="W127" s="30">
        <f t="shared" si="22"/>
        <v>0</v>
      </c>
      <c r="X127" s="30">
        <f t="shared" si="22"/>
        <v>0</v>
      </c>
      <c r="Y127" s="30">
        <f t="shared" si="22"/>
        <v>0</v>
      </c>
      <c r="Z127" s="30">
        <f t="shared" si="22"/>
        <v>0</v>
      </c>
      <c r="AA127" s="30">
        <f t="shared" si="22"/>
        <v>0</v>
      </c>
      <c r="AB127" s="39">
        <f t="shared" si="14"/>
        <v>0</v>
      </c>
    </row>
    <row r="128" spans="1:28">
      <c r="A128" s="168">
        <v>4029</v>
      </c>
      <c r="B128" s="2">
        <v>145120</v>
      </c>
      <c r="C128" s="2" t="s">
        <v>329</v>
      </c>
      <c r="E128" s="171">
        <v>0</v>
      </c>
      <c r="F128" s="171">
        <v>0</v>
      </c>
      <c r="G128" s="163"/>
      <c r="H128" s="171">
        <v>5428.5</v>
      </c>
      <c r="I128" s="171">
        <v>108.83333333333303</v>
      </c>
      <c r="J128" s="171">
        <v>5537.333333333333</v>
      </c>
      <c r="K128" s="163"/>
      <c r="L128" s="171">
        <v>0</v>
      </c>
      <c r="M128" s="171">
        <v>0</v>
      </c>
      <c r="N128" s="171">
        <v>0</v>
      </c>
      <c r="O128" s="164">
        <v>0</v>
      </c>
      <c r="P128" s="164">
        <v>0</v>
      </c>
      <c r="Q128" s="172">
        <f t="shared" si="15"/>
        <v>11074.666666666666</v>
      </c>
      <c r="S128" s="30">
        <f t="shared" si="20"/>
        <v>0</v>
      </c>
      <c r="T128" s="30">
        <f t="shared" si="20"/>
        <v>11074.666666666666</v>
      </c>
      <c r="U128" s="30">
        <f t="shared" si="22"/>
        <v>0</v>
      </c>
      <c r="V128" s="30">
        <f t="shared" si="22"/>
        <v>0</v>
      </c>
      <c r="W128" s="30">
        <f t="shared" si="22"/>
        <v>0</v>
      </c>
      <c r="X128" s="30">
        <f t="shared" si="22"/>
        <v>0</v>
      </c>
      <c r="Y128" s="30">
        <f t="shared" si="22"/>
        <v>0</v>
      </c>
      <c r="Z128" s="30">
        <f t="shared" si="22"/>
        <v>0</v>
      </c>
      <c r="AA128" s="30">
        <f t="shared" si="22"/>
        <v>0</v>
      </c>
      <c r="AB128" s="39">
        <f t="shared" si="14"/>
        <v>0</v>
      </c>
    </row>
    <row r="129" spans="1:28">
      <c r="A129" s="168">
        <v>2162</v>
      </c>
      <c r="B129" s="2">
        <v>141977</v>
      </c>
      <c r="C129" s="2" t="s">
        <v>330</v>
      </c>
      <c r="E129" s="171">
        <v>0</v>
      </c>
      <c r="F129" s="171">
        <v>0</v>
      </c>
      <c r="G129" s="163"/>
      <c r="H129" s="171">
        <v>66084.053333333344</v>
      </c>
      <c r="I129" s="171">
        <v>1030.9266666666649</v>
      </c>
      <c r="J129" s="171">
        <v>51842.003333333327</v>
      </c>
      <c r="K129" s="163"/>
      <c r="L129" s="171">
        <v>0</v>
      </c>
      <c r="M129" s="171">
        <v>0</v>
      </c>
      <c r="N129" s="171">
        <v>0</v>
      </c>
      <c r="O129" s="164">
        <v>0</v>
      </c>
      <c r="P129" s="164">
        <v>0</v>
      </c>
      <c r="Q129" s="172">
        <f t="shared" si="15"/>
        <v>118956.98333333334</v>
      </c>
      <c r="S129" s="30">
        <f t="shared" si="20"/>
        <v>0</v>
      </c>
      <c r="T129" s="30">
        <f t="shared" si="20"/>
        <v>118956.98333333334</v>
      </c>
      <c r="U129" s="30">
        <f t="shared" si="22"/>
        <v>0</v>
      </c>
      <c r="V129" s="30">
        <f t="shared" si="22"/>
        <v>0</v>
      </c>
      <c r="W129" s="30">
        <f t="shared" si="22"/>
        <v>0</v>
      </c>
      <c r="X129" s="30">
        <f t="shared" si="22"/>
        <v>0</v>
      </c>
      <c r="Y129" s="30">
        <f t="shared" si="22"/>
        <v>0</v>
      </c>
      <c r="Z129" s="30">
        <f t="shared" si="22"/>
        <v>0</v>
      </c>
      <c r="AA129" s="30">
        <f t="shared" si="22"/>
        <v>0</v>
      </c>
      <c r="AB129" s="39">
        <f t="shared" si="14"/>
        <v>0</v>
      </c>
    </row>
    <row r="130" spans="1:28">
      <c r="A130" s="168">
        <v>2075</v>
      </c>
      <c r="B130" s="2">
        <v>138998</v>
      </c>
      <c r="C130" s="2" t="s">
        <v>331</v>
      </c>
      <c r="E130" s="171">
        <v>0</v>
      </c>
      <c r="F130" s="171">
        <v>0</v>
      </c>
      <c r="G130" s="163"/>
      <c r="H130" s="171">
        <v>44310.53333333334</v>
      </c>
      <c r="I130" s="171">
        <v>610.39999999999873</v>
      </c>
      <c r="J130" s="171">
        <v>33578.666666666664</v>
      </c>
      <c r="K130" s="163"/>
      <c r="L130" s="171">
        <v>0</v>
      </c>
      <c r="M130" s="171">
        <v>0</v>
      </c>
      <c r="N130" s="171">
        <v>0</v>
      </c>
      <c r="O130" s="164">
        <v>0</v>
      </c>
      <c r="P130" s="164">
        <v>0</v>
      </c>
      <c r="Q130" s="172">
        <f t="shared" si="15"/>
        <v>78499.600000000006</v>
      </c>
      <c r="S130" s="30">
        <f t="shared" ref="S130:T149" si="23">SUMIF($E$3:$P$3,S$6,$E130:$P130)</f>
        <v>0</v>
      </c>
      <c r="T130" s="30">
        <f t="shared" si="23"/>
        <v>78499.600000000006</v>
      </c>
      <c r="U130" s="30">
        <f t="shared" ref="U130:AA139" si="24">SUMIF($E$3:$O$3,U$6,$E130:$O130)</f>
        <v>0</v>
      </c>
      <c r="V130" s="30">
        <f t="shared" si="24"/>
        <v>0</v>
      </c>
      <c r="W130" s="30">
        <f t="shared" si="24"/>
        <v>0</v>
      </c>
      <c r="X130" s="30">
        <f t="shared" si="24"/>
        <v>0</v>
      </c>
      <c r="Y130" s="30">
        <f t="shared" si="24"/>
        <v>0</v>
      </c>
      <c r="Z130" s="30">
        <f t="shared" si="24"/>
        <v>0</v>
      </c>
      <c r="AA130" s="30">
        <f t="shared" si="24"/>
        <v>0</v>
      </c>
      <c r="AB130" s="39">
        <f t="shared" si="14"/>
        <v>0</v>
      </c>
    </row>
    <row r="131" spans="1:28">
      <c r="A131" s="168">
        <v>2132</v>
      </c>
      <c r="B131" s="2">
        <v>146701</v>
      </c>
      <c r="C131" s="2" t="s">
        <v>332</v>
      </c>
      <c r="E131" s="171">
        <v>0</v>
      </c>
      <c r="F131" s="171">
        <v>0</v>
      </c>
      <c r="G131" s="163"/>
      <c r="H131" s="171">
        <v>35797.94666666667</v>
      </c>
      <c r="I131" s="171">
        <v>647.24999999999864</v>
      </c>
      <c r="J131" s="171">
        <v>16725</v>
      </c>
      <c r="K131" s="163"/>
      <c r="L131" s="171">
        <v>0</v>
      </c>
      <c r="M131" s="171">
        <v>0</v>
      </c>
      <c r="N131" s="171">
        <v>0</v>
      </c>
      <c r="O131" s="164">
        <v>0</v>
      </c>
      <c r="P131" s="164">
        <v>0</v>
      </c>
      <c r="Q131" s="172">
        <f t="shared" si="15"/>
        <v>53170.19666666667</v>
      </c>
      <c r="S131" s="30">
        <f t="shared" si="23"/>
        <v>0</v>
      </c>
      <c r="T131" s="30">
        <f t="shared" si="23"/>
        <v>53170.19666666667</v>
      </c>
      <c r="U131" s="30">
        <f t="shared" si="24"/>
        <v>0</v>
      </c>
      <c r="V131" s="30">
        <f t="shared" si="24"/>
        <v>0</v>
      </c>
      <c r="W131" s="30">
        <f t="shared" si="24"/>
        <v>0</v>
      </c>
      <c r="X131" s="30">
        <f t="shared" si="24"/>
        <v>0</v>
      </c>
      <c r="Y131" s="30">
        <f t="shared" si="24"/>
        <v>0</v>
      </c>
      <c r="Z131" s="30">
        <f t="shared" si="24"/>
        <v>0</v>
      </c>
      <c r="AA131" s="30">
        <f t="shared" si="24"/>
        <v>0</v>
      </c>
      <c r="AB131" s="39">
        <f t="shared" si="14"/>
        <v>0</v>
      </c>
    </row>
    <row r="132" spans="1:28">
      <c r="A132" s="168">
        <v>3322</v>
      </c>
      <c r="B132" s="2">
        <v>151625</v>
      </c>
      <c r="C132" s="2" t="s">
        <v>12</v>
      </c>
      <c r="E132" s="171">
        <v>0</v>
      </c>
      <c r="F132" s="171">
        <v>0</v>
      </c>
      <c r="G132" s="163"/>
      <c r="H132" s="171">
        <v>28361.06</v>
      </c>
      <c r="I132" s="171">
        <v>483.79333333333261</v>
      </c>
      <c r="J132" s="171">
        <v>30345.173333333329</v>
      </c>
      <c r="K132" s="163"/>
      <c r="L132" s="171">
        <v>0</v>
      </c>
      <c r="M132" s="171">
        <v>0</v>
      </c>
      <c r="N132" s="171">
        <v>0</v>
      </c>
      <c r="O132" s="164">
        <v>0</v>
      </c>
      <c r="P132" s="164">
        <v>0</v>
      </c>
      <c r="Q132" s="172">
        <f t="shared" si="15"/>
        <v>59190.026666666658</v>
      </c>
      <c r="S132" s="30">
        <f t="shared" si="23"/>
        <v>0</v>
      </c>
      <c r="T132" s="30">
        <f t="shared" si="23"/>
        <v>59190.026666666658</v>
      </c>
      <c r="U132" s="30">
        <f t="shared" si="24"/>
        <v>0</v>
      </c>
      <c r="V132" s="30">
        <f t="shared" si="24"/>
        <v>0</v>
      </c>
      <c r="W132" s="30">
        <f t="shared" si="24"/>
        <v>0</v>
      </c>
      <c r="X132" s="30">
        <f t="shared" si="24"/>
        <v>0</v>
      </c>
      <c r="Y132" s="30">
        <f t="shared" si="24"/>
        <v>0</v>
      </c>
      <c r="Z132" s="30">
        <f t="shared" si="24"/>
        <v>0</v>
      </c>
      <c r="AA132" s="30">
        <f t="shared" si="24"/>
        <v>0</v>
      </c>
      <c r="AB132" s="39">
        <f t="shared" si="14"/>
        <v>0</v>
      </c>
    </row>
    <row r="133" spans="1:28">
      <c r="A133" s="168">
        <v>7004</v>
      </c>
      <c r="B133" s="2">
        <v>148225</v>
      </c>
      <c r="C133" s="2" t="s">
        <v>333</v>
      </c>
      <c r="E133" s="171">
        <v>56700</v>
      </c>
      <c r="F133" s="171">
        <v>0</v>
      </c>
      <c r="G133" s="163"/>
      <c r="H133" s="171">
        <v>0</v>
      </c>
      <c r="I133" s="171">
        <v>0</v>
      </c>
      <c r="J133" s="171">
        <v>0</v>
      </c>
      <c r="K133" s="163"/>
      <c r="L133" s="171">
        <v>0</v>
      </c>
      <c r="M133" s="171">
        <v>0</v>
      </c>
      <c r="N133" s="171">
        <v>0</v>
      </c>
      <c r="O133" s="164">
        <v>0</v>
      </c>
      <c r="P133" s="164">
        <v>0</v>
      </c>
      <c r="Q133" s="172">
        <f t="shared" si="15"/>
        <v>56700</v>
      </c>
      <c r="S133" s="30">
        <f t="shared" si="23"/>
        <v>0</v>
      </c>
      <c r="T133" s="30">
        <f t="shared" si="23"/>
        <v>56700</v>
      </c>
      <c r="U133" s="30">
        <f t="shared" si="24"/>
        <v>0</v>
      </c>
      <c r="V133" s="30">
        <f t="shared" si="24"/>
        <v>0</v>
      </c>
      <c r="W133" s="30">
        <f t="shared" si="24"/>
        <v>0</v>
      </c>
      <c r="X133" s="30">
        <f t="shared" si="24"/>
        <v>0</v>
      </c>
      <c r="Y133" s="30">
        <f t="shared" si="24"/>
        <v>0</v>
      </c>
      <c r="Z133" s="30">
        <f t="shared" si="24"/>
        <v>0</v>
      </c>
      <c r="AA133" s="30">
        <f t="shared" si="24"/>
        <v>0</v>
      </c>
      <c r="AB133" s="39">
        <f t="shared" si="14"/>
        <v>0</v>
      </c>
    </row>
    <row r="134" spans="1:28">
      <c r="A134" s="168">
        <v>2463</v>
      </c>
      <c r="B134" s="2">
        <v>139452</v>
      </c>
      <c r="C134" s="2" t="s">
        <v>334</v>
      </c>
      <c r="E134" s="171">
        <v>0</v>
      </c>
      <c r="F134" s="171">
        <v>0</v>
      </c>
      <c r="G134" s="163"/>
      <c r="H134" s="171">
        <v>26287.041666666664</v>
      </c>
      <c r="I134" s="171">
        <v>490.41666666666561</v>
      </c>
      <c r="J134" s="171">
        <v>20094.333333333336</v>
      </c>
      <c r="K134" s="163"/>
      <c r="L134" s="171">
        <v>0</v>
      </c>
      <c r="M134" s="171">
        <v>0</v>
      </c>
      <c r="N134" s="171">
        <v>0</v>
      </c>
      <c r="O134" s="164">
        <v>0</v>
      </c>
      <c r="P134" s="164">
        <v>0</v>
      </c>
      <c r="Q134" s="172">
        <f t="shared" si="15"/>
        <v>46871.791666666664</v>
      </c>
      <c r="S134" s="30">
        <f t="shared" si="23"/>
        <v>0</v>
      </c>
      <c r="T134" s="30">
        <f t="shared" si="23"/>
        <v>46871.791666666664</v>
      </c>
      <c r="U134" s="30">
        <f t="shared" si="24"/>
        <v>0</v>
      </c>
      <c r="V134" s="30">
        <f t="shared" si="24"/>
        <v>0</v>
      </c>
      <c r="W134" s="30">
        <f t="shared" si="24"/>
        <v>0</v>
      </c>
      <c r="X134" s="30">
        <f t="shared" si="24"/>
        <v>0</v>
      </c>
      <c r="Y134" s="30">
        <f t="shared" si="24"/>
        <v>0</v>
      </c>
      <c r="Z134" s="30">
        <f t="shared" si="24"/>
        <v>0</v>
      </c>
      <c r="AA134" s="30">
        <f t="shared" si="24"/>
        <v>0</v>
      </c>
      <c r="AB134" s="39">
        <f t="shared" si="14"/>
        <v>0</v>
      </c>
    </row>
    <row r="135" spans="1:28">
      <c r="A135" s="168">
        <v>2100</v>
      </c>
      <c r="B135" s="2">
        <v>139014</v>
      </c>
      <c r="C135" s="2" t="s">
        <v>335</v>
      </c>
      <c r="E135" s="171">
        <v>0</v>
      </c>
      <c r="F135" s="171">
        <v>0</v>
      </c>
      <c r="G135" s="163"/>
      <c r="H135" s="171">
        <v>12702.133333333335</v>
      </c>
      <c r="I135" s="171">
        <v>135.19999999999982</v>
      </c>
      <c r="J135" s="171">
        <v>12837.333333333334</v>
      </c>
      <c r="K135" s="163"/>
      <c r="L135" s="171">
        <v>0</v>
      </c>
      <c r="M135" s="171">
        <v>0</v>
      </c>
      <c r="N135" s="171">
        <v>0</v>
      </c>
      <c r="O135" s="164">
        <v>0</v>
      </c>
      <c r="P135" s="164">
        <v>0</v>
      </c>
      <c r="Q135" s="172">
        <f t="shared" si="15"/>
        <v>25674.666666666672</v>
      </c>
      <c r="S135" s="30">
        <f t="shared" si="23"/>
        <v>0</v>
      </c>
      <c r="T135" s="30">
        <f t="shared" si="23"/>
        <v>25674.666666666672</v>
      </c>
      <c r="U135" s="30">
        <f t="shared" si="24"/>
        <v>0</v>
      </c>
      <c r="V135" s="30">
        <f t="shared" si="24"/>
        <v>0</v>
      </c>
      <c r="W135" s="30">
        <f t="shared" si="24"/>
        <v>0</v>
      </c>
      <c r="X135" s="30">
        <f t="shared" si="24"/>
        <v>0</v>
      </c>
      <c r="Y135" s="30">
        <f t="shared" si="24"/>
        <v>0</v>
      </c>
      <c r="Z135" s="30">
        <f t="shared" si="24"/>
        <v>0</v>
      </c>
      <c r="AA135" s="30">
        <f t="shared" si="24"/>
        <v>0</v>
      </c>
      <c r="AB135" s="39">
        <f t="shared" si="14"/>
        <v>0</v>
      </c>
    </row>
    <row r="136" spans="1:28">
      <c r="A136" s="168">
        <v>2070</v>
      </c>
      <c r="B136" s="2">
        <v>138864</v>
      </c>
      <c r="C136" s="2" t="s">
        <v>336</v>
      </c>
      <c r="E136" s="171">
        <v>0</v>
      </c>
      <c r="F136" s="171">
        <v>0</v>
      </c>
      <c r="G136" s="163"/>
      <c r="H136" s="171">
        <v>65984.933333333349</v>
      </c>
      <c r="I136" s="171">
        <v>1257.3166666666648</v>
      </c>
      <c r="J136" s="171">
        <v>47887.009999999995</v>
      </c>
      <c r="K136" s="163"/>
      <c r="L136" s="171">
        <v>0</v>
      </c>
      <c r="M136" s="171">
        <v>0</v>
      </c>
      <c r="N136" s="171">
        <v>0</v>
      </c>
      <c r="O136" s="164">
        <v>0</v>
      </c>
      <c r="P136" s="164">
        <v>0</v>
      </c>
      <c r="Q136" s="172">
        <f t="shared" si="15"/>
        <v>115129.26000000001</v>
      </c>
      <c r="S136" s="30">
        <f t="shared" si="23"/>
        <v>0</v>
      </c>
      <c r="T136" s="30">
        <f t="shared" si="23"/>
        <v>115129.26000000001</v>
      </c>
      <c r="U136" s="30">
        <f t="shared" si="24"/>
        <v>0</v>
      </c>
      <c r="V136" s="30">
        <f t="shared" si="24"/>
        <v>0</v>
      </c>
      <c r="W136" s="30">
        <f t="shared" si="24"/>
        <v>0</v>
      </c>
      <c r="X136" s="30">
        <f t="shared" si="24"/>
        <v>0</v>
      </c>
      <c r="Y136" s="30">
        <f t="shared" si="24"/>
        <v>0</v>
      </c>
      <c r="Z136" s="30">
        <f t="shared" si="24"/>
        <v>0</v>
      </c>
      <c r="AA136" s="30">
        <f t="shared" si="24"/>
        <v>0</v>
      </c>
      <c r="AB136" s="39">
        <f t="shared" ref="AB136:AB199" si="25">SUM(S136:AA136)-Q136</f>
        <v>0</v>
      </c>
    </row>
    <row r="137" spans="1:28">
      <c r="A137" s="168">
        <v>2078</v>
      </c>
      <c r="B137" s="2">
        <v>139000</v>
      </c>
      <c r="C137" s="2" t="s">
        <v>337</v>
      </c>
      <c r="E137" s="171">
        <v>0</v>
      </c>
      <c r="F137" s="171">
        <v>0</v>
      </c>
      <c r="G137" s="163"/>
      <c r="H137" s="171">
        <v>22691.13</v>
      </c>
      <c r="I137" s="171">
        <v>438.0966666666659</v>
      </c>
      <c r="J137" s="171">
        <v>32181.333333333332</v>
      </c>
      <c r="K137" s="163"/>
      <c r="L137" s="171">
        <v>0</v>
      </c>
      <c r="M137" s="171">
        <v>0</v>
      </c>
      <c r="N137" s="171">
        <v>0</v>
      </c>
      <c r="O137" s="164">
        <v>0</v>
      </c>
      <c r="P137" s="164">
        <v>0</v>
      </c>
      <c r="Q137" s="172">
        <f t="shared" si="15"/>
        <v>55310.559999999998</v>
      </c>
      <c r="S137" s="30">
        <f t="shared" si="23"/>
        <v>0</v>
      </c>
      <c r="T137" s="30">
        <f t="shared" si="23"/>
        <v>55310.559999999998</v>
      </c>
      <c r="U137" s="30">
        <f t="shared" si="24"/>
        <v>0</v>
      </c>
      <c r="V137" s="30">
        <f t="shared" si="24"/>
        <v>0</v>
      </c>
      <c r="W137" s="30">
        <f t="shared" si="24"/>
        <v>0</v>
      </c>
      <c r="X137" s="30">
        <f t="shared" si="24"/>
        <v>0</v>
      </c>
      <c r="Y137" s="30">
        <f t="shared" si="24"/>
        <v>0</v>
      </c>
      <c r="Z137" s="30">
        <f t="shared" si="24"/>
        <v>0</v>
      </c>
      <c r="AA137" s="30">
        <f t="shared" si="24"/>
        <v>0</v>
      </c>
      <c r="AB137" s="39">
        <f t="shared" si="25"/>
        <v>0</v>
      </c>
    </row>
    <row r="138" spans="1:28">
      <c r="A138" s="168">
        <v>2038</v>
      </c>
      <c r="B138" s="2">
        <v>138799</v>
      </c>
      <c r="C138" s="2" t="s">
        <v>338</v>
      </c>
      <c r="E138" s="171">
        <v>0</v>
      </c>
      <c r="F138" s="171">
        <v>0</v>
      </c>
      <c r="G138" s="163"/>
      <c r="H138" s="171">
        <v>58571.840000000018</v>
      </c>
      <c r="I138" s="171">
        <v>994.15999999999849</v>
      </c>
      <c r="J138" s="171">
        <v>51152.666666666672</v>
      </c>
      <c r="K138" s="163"/>
      <c r="L138" s="171">
        <v>0</v>
      </c>
      <c r="M138" s="171">
        <v>0</v>
      </c>
      <c r="N138" s="171">
        <v>0</v>
      </c>
      <c r="O138" s="164">
        <v>0</v>
      </c>
      <c r="P138" s="164">
        <v>0</v>
      </c>
      <c r="Q138" s="172">
        <f t="shared" ref="Q138:Q201" si="26">SUM(E138:P138)</f>
        <v>110718.66666666669</v>
      </c>
      <c r="S138" s="30">
        <f t="shared" si="23"/>
        <v>0</v>
      </c>
      <c r="T138" s="30">
        <f t="shared" si="23"/>
        <v>110718.66666666669</v>
      </c>
      <c r="U138" s="30">
        <f t="shared" si="24"/>
        <v>0</v>
      </c>
      <c r="V138" s="30">
        <f t="shared" si="24"/>
        <v>0</v>
      </c>
      <c r="W138" s="30">
        <f t="shared" si="24"/>
        <v>0</v>
      </c>
      <c r="X138" s="30">
        <f t="shared" si="24"/>
        <v>0</v>
      </c>
      <c r="Y138" s="30">
        <f t="shared" si="24"/>
        <v>0</v>
      </c>
      <c r="Z138" s="30">
        <f t="shared" si="24"/>
        <v>0</v>
      </c>
      <c r="AA138" s="30">
        <f t="shared" si="24"/>
        <v>0</v>
      </c>
      <c r="AB138" s="39">
        <f t="shared" si="25"/>
        <v>0</v>
      </c>
    </row>
    <row r="139" spans="1:28">
      <c r="A139" s="168">
        <v>5411</v>
      </c>
      <c r="B139" s="2">
        <v>136406</v>
      </c>
      <c r="C139" s="2" t="s">
        <v>339</v>
      </c>
      <c r="E139" s="171">
        <v>0</v>
      </c>
      <c r="F139" s="171">
        <v>0</v>
      </c>
      <c r="G139" s="163"/>
      <c r="H139" s="171">
        <v>19325.46</v>
      </c>
      <c r="I139" s="171">
        <v>387.87333333333299</v>
      </c>
      <c r="J139" s="171">
        <v>25520.666666666668</v>
      </c>
      <c r="K139" s="163"/>
      <c r="L139" s="171">
        <v>0</v>
      </c>
      <c r="M139" s="171">
        <v>0</v>
      </c>
      <c r="N139" s="171">
        <v>0</v>
      </c>
      <c r="O139" s="164">
        <v>0</v>
      </c>
      <c r="P139" s="164">
        <v>0</v>
      </c>
      <c r="Q139" s="172">
        <f t="shared" si="26"/>
        <v>45234</v>
      </c>
      <c r="S139" s="30">
        <f t="shared" si="23"/>
        <v>0</v>
      </c>
      <c r="T139" s="30">
        <f t="shared" si="23"/>
        <v>45234</v>
      </c>
      <c r="U139" s="30">
        <f t="shared" si="24"/>
        <v>0</v>
      </c>
      <c r="V139" s="30">
        <f t="shared" si="24"/>
        <v>0</v>
      </c>
      <c r="W139" s="30">
        <f t="shared" si="24"/>
        <v>0</v>
      </c>
      <c r="X139" s="30">
        <f t="shared" si="24"/>
        <v>0</v>
      </c>
      <c r="Y139" s="30">
        <f t="shared" si="24"/>
        <v>0</v>
      </c>
      <c r="Z139" s="30">
        <f t="shared" si="24"/>
        <v>0</v>
      </c>
      <c r="AA139" s="30">
        <f t="shared" si="24"/>
        <v>0</v>
      </c>
      <c r="AB139" s="39">
        <f t="shared" si="25"/>
        <v>0</v>
      </c>
    </row>
    <row r="140" spans="1:28">
      <c r="A140" s="168">
        <v>4004</v>
      </c>
      <c r="B140" s="2">
        <v>138586</v>
      </c>
      <c r="C140" s="2" t="s">
        <v>340</v>
      </c>
      <c r="E140" s="171">
        <v>0</v>
      </c>
      <c r="F140" s="171">
        <v>0</v>
      </c>
      <c r="G140" s="163"/>
      <c r="H140" s="171">
        <v>58588.040000000008</v>
      </c>
      <c r="I140" s="171">
        <v>1174.2899999999981</v>
      </c>
      <c r="J140" s="171">
        <v>71082.999999999985</v>
      </c>
      <c r="K140" s="163"/>
      <c r="L140" s="171">
        <v>16798.766666666666</v>
      </c>
      <c r="M140" s="171">
        <v>0</v>
      </c>
      <c r="N140" s="171">
        <v>0</v>
      </c>
      <c r="O140" s="164">
        <v>0</v>
      </c>
      <c r="P140" s="164">
        <v>0</v>
      </c>
      <c r="Q140" s="172">
        <f t="shared" si="26"/>
        <v>147644.09666666665</v>
      </c>
      <c r="S140" s="30">
        <f t="shared" si="23"/>
        <v>16798.766666666666</v>
      </c>
      <c r="T140" s="30">
        <f t="shared" si="23"/>
        <v>130845.32999999999</v>
      </c>
      <c r="U140" s="30">
        <f t="shared" ref="U140:AA149" si="27">SUMIF($E$3:$O$3,U$6,$E140:$O140)</f>
        <v>0</v>
      </c>
      <c r="V140" s="30">
        <f t="shared" si="27"/>
        <v>0</v>
      </c>
      <c r="W140" s="30">
        <f t="shared" si="27"/>
        <v>0</v>
      </c>
      <c r="X140" s="30">
        <f t="shared" si="27"/>
        <v>0</v>
      </c>
      <c r="Y140" s="30">
        <f t="shared" si="27"/>
        <v>0</v>
      </c>
      <c r="Z140" s="30">
        <f t="shared" si="27"/>
        <v>0</v>
      </c>
      <c r="AA140" s="30">
        <f t="shared" si="27"/>
        <v>0</v>
      </c>
      <c r="AB140" s="39">
        <f t="shared" si="25"/>
        <v>0</v>
      </c>
    </row>
    <row r="141" spans="1:28">
      <c r="A141" s="168">
        <v>2032</v>
      </c>
      <c r="B141" s="2">
        <v>137492</v>
      </c>
      <c r="C141" s="2" t="s">
        <v>341</v>
      </c>
      <c r="E141" s="171">
        <v>0</v>
      </c>
      <c r="F141" s="171">
        <v>0</v>
      </c>
      <c r="G141" s="163"/>
      <c r="H141" s="171">
        <v>13381.970000000001</v>
      </c>
      <c r="I141" s="171">
        <v>263.69666666666626</v>
      </c>
      <c r="J141" s="171">
        <v>14088.666666666666</v>
      </c>
      <c r="K141" s="163"/>
      <c r="L141" s="171">
        <v>0</v>
      </c>
      <c r="M141" s="171">
        <v>0</v>
      </c>
      <c r="N141" s="171">
        <v>0</v>
      </c>
      <c r="O141" s="164">
        <v>0</v>
      </c>
      <c r="P141" s="164">
        <v>0</v>
      </c>
      <c r="Q141" s="172">
        <f t="shared" si="26"/>
        <v>27734.333333333336</v>
      </c>
      <c r="S141" s="30">
        <f t="shared" si="23"/>
        <v>0</v>
      </c>
      <c r="T141" s="30">
        <f t="shared" si="23"/>
        <v>27734.333333333336</v>
      </c>
      <c r="U141" s="30">
        <f t="shared" si="27"/>
        <v>0</v>
      </c>
      <c r="V141" s="30">
        <f t="shared" si="27"/>
        <v>0</v>
      </c>
      <c r="W141" s="30">
        <f t="shared" si="27"/>
        <v>0</v>
      </c>
      <c r="X141" s="30">
        <f t="shared" si="27"/>
        <v>0</v>
      </c>
      <c r="Y141" s="30">
        <f t="shared" si="27"/>
        <v>0</v>
      </c>
      <c r="Z141" s="30">
        <f t="shared" si="27"/>
        <v>0</v>
      </c>
      <c r="AA141" s="30">
        <f t="shared" si="27"/>
        <v>0</v>
      </c>
      <c r="AB141" s="39">
        <f t="shared" si="25"/>
        <v>0</v>
      </c>
    </row>
    <row r="142" spans="1:28">
      <c r="A142" s="168">
        <v>2315</v>
      </c>
      <c r="B142" s="2">
        <v>142358</v>
      </c>
      <c r="C142" s="2" t="s">
        <v>342</v>
      </c>
      <c r="E142" s="171">
        <v>0</v>
      </c>
      <c r="F142" s="171">
        <v>0</v>
      </c>
      <c r="G142" s="163"/>
      <c r="H142" s="171">
        <v>33463.85</v>
      </c>
      <c r="I142" s="171">
        <v>448.48333333333221</v>
      </c>
      <c r="J142" s="171">
        <v>36605</v>
      </c>
      <c r="K142" s="163"/>
      <c r="L142" s="171">
        <v>0</v>
      </c>
      <c r="M142" s="171">
        <v>0</v>
      </c>
      <c r="N142" s="171">
        <v>0</v>
      </c>
      <c r="O142" s="164">
        <v>0</v>
      </c>
      <c r="P142" s="164">
        <v>0</v>
      </c>
      <c r="Q142" s="172">
        <f t="shared" si="26"/>
        <v>70517.333333333328</v>
      </c>
      <c r="S142" s="30">
        <f t="shared" si="23"/>
        <v>0</v>
      </c>
      <c r="T142" s="30">
        <f t="shared" si="23"/>
        <v>70517.333333333328</v>
      </c>
      <c r="U142" s="30">
        <f t="shared" si="27"/>
        <v>0</v>
      </c>
      <c r="V142" s="30">
        <f t="shared" si="27"/>
        <v>0</v>
      </c>
      <c r="W142" s="30">
        <f t="shared" si="27"/>
        <v>0</v>
      </c>
      <c r="X142" s="30">
        <f t="shared" si="27"/>
        <v>0</v>
      </c>
      <c r="Y142" s="30">
        <f t="shared" si="27"/>
        <v>0</v>
      </c>
      <c r="Z142" s="30">
        <f t="shared" si="27"/>
        <v>0</v>
      </c>
      <c r="AA142" s="30">
        <f t="shared" si="27"/>
        <v>0</v>
      </c>
      <c r="AB142" s="39">
        <f t="shared" si="25"/>
        <v>0</v>
      </c>
    </row>
    <row r="143" spans="1:28">
      <c r="A143" s="168">
        <v>2263</v>
      </c>
      <c r="B143" s="2">
        <v>142203</v>
      </c>
      <c r="C143" s="2" t="s">
        <v>343</v>
      </c>
      <c r="E143" s="171">
        <v>0</v>
      </c>
      <c r="F143" s="171">
        <v>0</v>
      </c>
      <c r="G143" s="163"/>
      <c r="H143" s="171">
        <v>53797.70666666668</v>
      </c>
      <c r="I143" s="171">
        <v>1033.0266666666648</v>
      </c>
      <c r="J143" s="171">
        <v>52336.33666666667</v>
      </c>
      <c r="K143" s="163"/>
      <c r="L143" s="171">
        <v>0</v>
      </c>
      <c r="M143" s="171">
        <v>0</v>
      </c>
      <c r="N143" s="171">
        <v>0</v>
      </c>
      <c r="O143" s="164">
        <v>0</v>
      </c>
      <c r="P143" s="164">
        <v>0</v>
      </c>
      <c r="Q143" s="172">
        <f t="shared" si="26"/>
        <v>107167.07</v>
      </c>
      <c r="S143" s="30">
        <f t="shared" si="23"/>
        <v>0</v>
      </c>
      <c r="T143" s="30">
        <f t="shared" si="23"/>
        <v>107167.07</v>
      </c>
      <c r="U143" s="30">
        <f t="shared" si="27"/>
        <v>0</v>
      </c>
      <c r="V143" s="30">
        <f t="shared" si="27"/>
        <v>0</v>
      </c>
      <c r="W143" s="30">
        <f t="shared" si="27"/>
        <v>0</v>
      </c>
      <c r="X143" s="30">
        <f t="shared" si="27"/>
        <v>0</v>
      </c>
      <c r="Y143" s="30">
        <f t="shared" si="27"/>
        <v>0</v>
      </c>
      <c r="Z143" s="30">
        <f t="shared" si="27"/>
        <v>0</v>
      </c>
      <c r="AA143" s="30">
        <f t="shared" si="27"/>
        <v>0</v>
      </c>
      <c r="AB143" s="39">
        <f t="shared" si="25"/>
        <v>0</v>
      </c>
    </row>
    <row r="144" spans="1:28">
      <c r="A144" s="168">
        <v>2212</v>
      </c>
      <c r="B144" s="2">
        <v>150692</v>
      </c>
      <c r="C144" s="2" t="s">
        <v>344</v>
      </c>
      <c r="E144" s="171">
        <v>0</v>
      </c>
      <c r="F144" s="171">
        <v>0</v>
      </c>
      <c r="G144" s="163"/>
      <c r="H144" s="171">
        <v>46986.683333333334</v>
      </c>
      <c r="I144" s="171">
        <v>917.64666666666517</v>
      </c>
      <c r="J144" s="171">
        <v>55868</v>
      </c>
      <c r="K144" s="163"/>
      <c r="L144" s="171">
        <v>0</v>
      </c>
      <c r="M144" s="171">
        <v>0</v>
      </c>
      <c r="N144" s="171">
        <v>0</v>
      </c>
      <c r="O144" s="164">
        <v>0</v>
      </c>
      <c r="P144" s="164">
        <v>0</v>
      </c>
      <c r="Q144" s="172">
        <f t="shared" si="26"/>
        <v>103772.33</v>
      </c>
      <c r="S144" s="30">
        <f t="shared" si="23"/>
        <v>0</v>
      </c>
      <c r="T144" s="30">
        <f t="shared" si="23"/>
        <v>103772.33</v>
      </c>
      <c r="U144" s="30">
        <f t="shared" si="27"/>
        <v>0</v>
      </c>
      <c r="V144" s="30">
        <f t="shared" si="27"/>
        <v>0</v>
      </c>
      <c r="W144" s="30">
        <f t="shared" si="27"/>
        <v>0</v>
      </c>
      <c r="X144" s="30">
        <f t="shared" si="27"/>
        <v>0</v>
      </c>
      <c r="Y144" s="30">
        <f t="shared" si="27"/>
        <v>0</v>
      </c>
      <c r="Z144" s="30">
        <f t="shared" si="27"/>
        <v>0</v>
      </c>
      <c r="AA144" s="30">
        <f t="shared" si="27"/>
        <v>0</v>
      </c>
      <c r="AB144" s="39">
        <f t="shared" si="25"/>
        <v>0</v>
      </c>
    </row>
    <row r="145" spans="1:28">
      <c r="A145" s="168">
        <v>2102</v>
      </c>
      <c r="B145" s="2">
        <v>139120</v>
      </c>
      <c r="C145" s="2" t="s">
        <v>345</v>
      </c>
      <c r="E145" s="171">
        <v>0</v>
      </c>
      <c r="F145" s="171">
        <v>0</v>
      </c>
      <c r="G145" s="163"/>
      <c r="H145" s="171">
        <v>3799.95</v>
      </c>
      <c r="I145" s="171">
        <v>78.049999999999727</v>
      </c>
      <c r="J145" s="171">
        <v>8641.993333333332</v>
      </c>
      <c r="K145" s="163"/>
      <c r="L145" s="171">
        <v>0</v>
      </c>
      <c r="M145" s="171">
        <v>0</v>
      </c>
      <c r="N145" s="171">
        <v>0</v>
      </c>
      <c r="O145" s="164">
        <v>0</v>
      </c>
      <c r="P145" s="164">
        <v>0</v>
      </c>
      <c r="Q145" s="172">
        <f t="shared" si="26"/>
        <v>12519.993333333332</v>
      </c>
      <c r="S145" s="30">
        <f t="shared" si="23"/>
        <v>0</v>
      </c>
      <c r="T145" s="30">
        <f t="shared" si="23"/>
        <v>12519.993333333332</v>
      </c>
      <c r="U145" s="30">
        <f t="shared" si="27"/>
        <v>0</v>
      </c>
      <c r="V145" s="30">
        <f t="shared" si="27"/>
        <v>0</v>
      </c>
      <c r="W145" s="30">
        <f t="shared" si="27"/>
        <v>0</v>
      </c>
      <c r="X145" s="30">
        <f t="shared" si="27"/>
        <v>0</v>
      </c>
      <c r="Y145" s="30">
        <f t="shared" si="27"/>
        <v>0</v>
      </c>
      <c r="Z145" s="30">
        <f t="shared" si="27"/>
        <v>0</v>
      </c>
      <c r="AA145" s="30">
        <f t="shared" si="27"/>
        <v>0</v>
      </c>
      <c r="AB145" s="39">
        <f t="shared" si="25"/>
        <v>0</v>
      </c>
    </row>
    <row r="146" spans="1:28">
      <c r="A146" s="168">
        <v>2107</v>
      </c>
      <c r="B146" s="2">
        <v>139129</v>
      </c>
      <c r="C146" s="2" t="s">
        <v>346</v>
      </c>
      <c r="E146" s="171">
        <v>0</v>
      </c>
      <c r="F146" s="171">
        <v>0</v>
      </c>
      <c r="G146" s="163"/>
      <c r="H146" s="171">
        <v>22018.29</v>
      </c>
      <c r="I146" s="171">
        <v>431.04333333333261</v>
      </c>
      <c r="J146" s="171">
        <v>24177.666666666668</v>
      </c>
      <c r="K146" s="163"/>
      <c r="L146" s="171">
        <v>0</v>
      </c>
      <c r="M146" s="171">
        <v>0</v>
      </c>
      <c r="N146" s="171">
        <v>0</v>
      </c>
      <c r="O146" s="164">
        <v>0</v>
      </c>
      <c r="P146" s="164">
        <v>0</v>
      </c>
      <c r="Q146" s="172">
        <f t="shared" si="26"/>
        <v>46627</v>
      </c>
      <c r="S146" s="30">
        <f t="shared" si="23"/>
        <v>0</v>
      </c>
      <c r="T146" s="30">
        <f t="shared" si="23"/>
        <v>46627</v>
      </c>
      <c r="U146" s="30">
        <f t="shared" si="27"/>
        <v>0</v>
      </c>
      <c r="V146" s="30">
        <f t="shared" si="27"/>
        <v>0</v>
      </c>
      <c r="W146" s="30">
        <f t="shared" si="27"/>
        <v>0</v>
      </c>
      <c r="X146" s="30">
        <f t="shared" si="27"/>
        <v>0</v>
      </c>
      <c r="Y146" s="30">
        <f t="shared" si="27"/>
        <v>0</v>
      </c>
      <c r="Z146" s="30">
        <f t="shared" si="27"/>
        <v>0</v>
      </c>
      <c r="AA146" s="30">
        <f t="shared" si="27"/>
        <v>0</v>
      </c>
      <c r="AB146" s="39">
        <f t="shared" si="25"/>
        <v>0</v>
      </c>
    </row>
    <row r="147" spans="1:28">
      <c r="A147" s="168">
        <v>2117</v>
      </c>
      <c r="B147" s="2">
        <v>139242</v>
      </c>
      <c r="C147" s="2" t="s">
        <v>347</v>
      </c>
      <c r="E147" s="171">
        <v>0</v>
      </c>
      <c r="F147" s="171">
        <v>0</v>
      </c>
      <c r="G147" s="163"/>
      <c r="H147" s="171">
        <v>15616.066666666668</v>
      </c>
      <c r="I147" s="171">
        <v>0</v>
      </c>
      <c r="J147" s="171">
        <v>20879.993333333336</v>
      </c>
      <c r="K147" s="163"/>
      <c r="L147" s="171">
        <v>0</v>
      </c>
      <c r="M147" s="171">
        <v>0</v>
      </c>
      <c r="N147" s="171">
        <v>0</v>
      </c>
      <c r="O147" s="164">
        <v>0</v>
      </c>
      <c r="P147" s="164">
        <v>0</v>
      </c>
      <c r="Q147" s="172">
        <f t="shared" si="26"/>
        <v>36496.060000000005</v>
      </c>
      <c r="S147" s="30">
        <f t="shared" si="23"/>
        <v>0</v>
      </c>
      <c r="T147" s="30">
        <f t="shared" si="23"/>
        <v>36496.060000000005</v>
      </c>
      <c r="U147" s="30">
        <f t="shared" si="27"/>
        <v>0</v>
      </c>
      <c r="V147" s="30">
        <f t="shared" si="27"/>
        <v>0</v>
      </c>
      <c r="W147" s="30">
        <f t="shared" si="27"/>
        <v>0</v>
      </c>
      <c r="X147" s="30">
        <f t="shared" si="27"/>
        <v>0</v>
      </c>
      <c r="Y147" s="30">
        <f t="shared" si="27"/>
        <v>0</v>
      </c>
      <c r="Z147" s="30">
        <f t="shared" si="27"/>
        <v>0</v>
      </c>
      <c r="AA147" s="30">
        <f t="shared" si="27"/>
        <v>0</v>
      </c>
      <c r="AB147" s="39">
        <f t="shared" si="25"/>
        <v>0</v>
      </c>
    </row>
    <row r="148" spans="1:28">
      <c r="A148" s="168">
        <v>2141</v>
      </c>
      <c r="B148" s="2">
        <v>140161</v>
      </c>
      <c r="C148" s="2" t="s">
        <v>348</v>
      </c>
      <c r="E148" s="171">
        <v>0</v>
      </c>
      <c r="F148" s="171">
        <v>0</v>
      </c>
      <c r="G148" s="163"/>
      <c r="H148" s="171">
        <v>29881.040000000001</v>
      </c>
      <c r="I148" s="171">
        <v>538.20999999999913</v>
      </c>
      <c r="J148" s="171">
        <v>34057.33</v>
      </c>
      <c r="K148" s="163"/>
      <c r="L148" s="171">
        <v>0</v>
      </c>
      <c r="M148" s="171">
        <v>0</v>
      </c>
      <c r="N148" s="171">
        <v>0</v>
      </c>
      <c r="O148" s="164">
        <v>0</v>
      </c>
      <c r="P148" s="164">
        <v>0</v>
      </c>
      <c r="Q148" s="172">
        <f t="shared" si="26"/>
        <v>64476.58</v>
      </c>
      <c r="S148" s="30">
        <f t="shared" si="23"/>
        <v>0</v>
      </c>
      <c r="T148" s="30">
        <f t="shared" si="23"/>
        <v>64476.58</v>
      </c>
      <c r="U148" s="30">
        <f t="shared" si="27"/>
        <v>0</v>
      </c>
      <c r="V148" s="30">
        <f t="shared" si="27"/>
        <v>0</v>
      </c>
      <c r="W148" s="30">
        <f t="shared" si="27"/>
        <v>0</v>
      </c>
      <c r="X148" s="30">
        <f t="shared" si="27"/>
        <v>0</v>
      </c>
      <c r="Y148" s="30">
        <f t="shared" si="27"/>
        <v>0</v>
      </c>
      <c r="Z148" s="30">
        <f t="shared" si="27"/>
        <v>0</v>
      </c>
      <c r="AA148" s="30">
        <f t="shared" si="27"/>
        <v>0</v>
      </c>
      <c r="AB148" s="39">
        <f t="shared" si="25"/>
        <v>0</v>
      </c>
    </row>
    <row r="149" spans="1:28">
      <c r="A149" s="168">
        <v>2110</v>
      </c>
      <c r="B149" s="2">
        <v>139214</v>
      </c>
      <c r="C149" s="2" t="s">
        <v>349</v>
      </c>
      <c r="E149" s="171">
        <v>0</v>
      </c>
      <c r="F149" s="171">
        <v>0</v>
      </c>
      <c r="G149" s="163"/>
      <c r="H149" s="171">
        <v>29757.466666666671</v>
      </c>
      <c r="I149" s="171">
        <v>507.99999999999909</v>
      </c>
      <c r="J149" s="171">
        <v>43218.666666666664</v>
      </c>
      <c r="K149" s="163"/>
      <c r="L149" s="171">
        <v>0</v>
      </c>
      <c r="M149" s="171">
        <v>0</v>
      </c>
      <c r="N149" s="171">
        <v>0</v>
      </c>
      <c r="O149" s="164">
        <v>0</v>
      </c>
      <c r="P149" s="164">
        <v>0</v>
      </c>
      <c r="Q149" s="172">
        <f t="shared" si="26"/>
        <v>73484.133333333331</v>
      </c>
      <c r="S149" s="30">
        <f t="shared" si="23"/>
        <v>0</v>
      </c>
      <c r="T149" s="30">
        <f t="shared" si="23"/>
        <v>73484.133333333331</v>
      </c>
      <c r="U149" s="30">
        <f t="shared" si="27"/>
        <v>0</v>
      </c>
      <c r="V149" s="30">
        <f t="shared" si="27"/>
        <v>0</v>
      </c>
      <c r="W149" s="30">
        <f t="shared" si="27"/>
        <v>0</v>
      </c>
      <c r="X149" s="30">
        <f t="shared" si="27"/>
        <v>0</v>
      </c>
      <c r="Y149" s="30">
        <f t="shared" si="27"/>
        <v>0</v>
      </c>
      <c r="Z149" s="30">
        <f t="shared" si="27"/>
        <v>0</v>
      </c>
      <c r="AA149" s="30">
        <f t="shared" si="27"/>
        <v>0</v>
      </c>
      <c r="AB149" s="39">
        <f t="shared" si="25"/>
        <v>0</v>
      </c>
    </row>
    <row r="150" spans="1:28">
      <c r="A150" s="168">
        <v>2103</v>
      </c>
      <c r="B150" s="2">
        <v>139125</v>
      </c>
      <c r="C150" s="2" t="s">
        <v>350</v>
      </c>
      <c r="E150" s="171">
        <v>0</v>
      </c>
      <c r="F150" s="171">
        <v>0</v>
      </c>
      <c r="G150" s="163"/>
      <c r="H150" s="171">
        <v>89124.963333333333</v>
      </c>
      <c r="I150" s="171">
        <v>1138.3633333333314</v>
      </c>
      <c r="J150" s="171">
        <v>85610.016666666663</v>
      </c>
      <c r="K150" s="163"/>
      <c r="L150" s="171">
        <v>0</v>
      </c>
      <c r="M150" s="171">
        <v>0</v>
      </c>
      <c r="N150" s="171">
        <v>0</v>
      </c>
      <c r="O150" s="164">
        <v>0</v>
      </c>
      <c r="P150" s="164">
        <v>0</v>
      </c>
      <c r="Q150" s="172">
        <f t="shared" si="26"/>
        <v>175873.34333333332</v>
      </c>
      <c r="S150" s="30">
        <f t="shared" ref="S150:T169" si="28">SUMIF($E$3:$P$3,S$6,$E150:$P150)</f>
        <v>0</v>
      </c>
      <c r="T150" s="30">
        <f t="shared" si="28"/>
        <v>175873.34333333332</v>
      </c>
      <c r="U150" s="30">
        <f t="shared" ref="U150:AA159" si="29">SUMIF($E$3:$O$3,U$6,$E150:$O150)</f>
        <v>0</v>
      </c>
      <c r="V150" s="30">
        <f t="shared" si="29"/>
        <v>0</v>
      </c>
      <c r="W150" s="30">
        <f t="shared" si="29"/>
        <v>0</v>
      </c>
      <c r="X150" s="30">
        <f t="shared" si="29"/>
        <v>0</v>
      </c>
      <c r="Y150" s="30">
        <f t="shared" si="29"/>
        <v>0</v>
      </c>
      <c r="Z150" s="30">
        <f t="shared" si="29"/>
        <v>0</v>
      </c>
      <c r="AA150" s="30">
        <f t="shared" si="29"/>
        <v>0</v>
      </c>
      <c r="AB150" s="39">
        <f t="shared" si="25"/>
        <v>0</v>
      </c>
    </row>
    <row r="151" spans="1:28">
      <c r="A151" s="168">
        <v>2221</v>
      </c>
      <c r="B151" s="2">
        <v>150894</v>
      </c>
      <c r="C151" s="2" t="s">
        <v>351</v>
      </c>
      <c r="E151" s="171">
        <v>0</v>
      </c>
      <c r="F151" s="171">
        <v>0</v>
      </c>
      <c r="G151" s="163"/>
      <c r="H151" s="171">
        <v>34824.35</v>
      </c>
      <c r="I151" s="171">
        <v>361.46666666666647</v>
      </c>
      <c r="J151" s="171">
        <v>18221.333333333332</v>
      </c>
      <c r="K151" s="163"/>
      <c r="L151" s="171">
        <v>0</v>
      </c>
      <c r="M151" s="171">
        <v>0</v>
      </c>
      <c r="N151" s="171">
        <v>0</v>
      </c>
      <c r="O151" s="164">
        <v>0</v>
      </c>
      <c r="P151" s="164">
        <v>0</v>
      </c>
      <c r="Q151" s="172">
        <f t="shared" si="26"/>
        <v>53407.149999999994</v>
      </c>
      <c r="S151" s="30">
        <f t="shared" si="28"/>
        <v>0</v>
      </c>
      <c r="T151" s="30">
        <f t="shared" si="28"/>
        <v>53407.149999999994</v>
      </c>
      <c r="U151" s="30">
        <f t="shared" si="29"/>
        <v>0</v>
      </c>
      <c r="V151" s="30">
        <f t="shared" si="29"/>
        <v>0</v>
      </c>
      <c r="W151" s="30">
        <f t="shared" si="29"/>
        <v>0</v>
      </c>
      <c r="X151" s="30">
        <f t="shared" si="29"/>
        <v>0</v>
      </c>
      <c r="Y151" s="30">
        <f t="shared" si="29"/>
        <v>0</v>
      </c>
      <c r="Z151" s="30">
        <f t="shared" si="29"/>
        <v>0</v>
      </c>
      <c r="AA151" s="30">
        <f t="shared" si="29"/>
        <v>0</v>
      </c>
      <c r="AB151" s="39">
        <f t="shared" si="25"/>
        <v>0</v>
      </c>
    </row>
    <row r="152" spans="1:28">
      <c r="A152" s="168">
        <v>2105</v>
      </c>
      <c r="B152" s="2">
        <v>139128</v>
      </c>
      <c r="C152" s="2" t="s">
        <v>352</v>
      </c>
      <c r="E152" s="171">
        <v>18302</v>
      </c>
      <c r="F152" s="171">
        <v>0</v>
      </c>
      <c r="G152" s="163"/>
      <c r="H152" s="171">
        <v>33846.766666666663</v>
      </c>
      <c r="I152" s="171">
        <v>501.23333333333221</v>
      </c>
      <c r="J152" s="171">
        <v>35327.333333333336</v>
      </c>
      <c r="K152" s="163"/>
      <c r="L152" s="171">
        <v>0</v>
      </c>
      <c r="M152" s="171">
        <v>0</v>
      </c>
      <c r="N152" s="171">
        <v>0</v>
      </c>
      <c r="O152" s="164">
        <v>0</v>
      </c>
      <c r="P152" s="164">
        <v>0</v>
      </c>
      <c r="Q152" s="172">
        <f t="shared" si="26"/>
        <v>87977.333333333328</v>
      </c>
      <c r="S152" s="30">
        <f t="shared" si="28"/>
        <v>0</v>
      </c>
      <c r="T152" s="30">
        <f t="shared" si="28"/>
        <v>87977.333333333328</v>
      </c>
      <c r="U152" s="30">
        <f t="shared" si="29"/>
        <v>0</v>
      </c>
      <c r="V152" s="30">
        <f t="shared" si="29"/>
        <v>0</v>
      </c>
      <c r="W152" s="30">
        <f t="shared" si="29"/>
        <v>0</v>
      </c>
      <c r="X152" s="30">
        <f t="shared" si="29"/>
        <v>0</v>
      </c>
      <c r="Y152" s="30">
        <f t="shared" si="29"/>
        <v>0</v>
      </c>
      <c r="Z152" s="30">
        <f t="shared" si="29"/>
        <v>0</v>
      </c>
      <c r="AA152" s="30">
        <f t="shared" si="29"/>
        <v>0</v>
      </c>
      <c r="AB152" s="39">
        <f t="shared" si="25"/>
        <v>0</v>
      </c>
    </row>
    <row r="153" spans="1:28">
      <c r="A153" s="168">
        <v>2206</v>
      </c>
      <c r="B153" s="2">
        <v>147758</v>
      </c>
      <c r="C153" s="2" t="s">
        <v>353</v>
      </c>
      <c r="E153" s="171">
        <v>0</v>
      </c>
      <c r="F153" s="171">
        <v>0</v>
      </c>
      <c r="G153" s="163"/>
      <c r="H153" s="171">
        <v>66700.936666666661</v>
      </c>
      <c r="I153" s="171">
        <v>1175.3699999999981</v>
      </c>
      <c r="J153" s="171">
        <v>81465.003333333312</v>
      </c>
      <c r="K153" s="163"/>
      <c r="L153" s="171">
        <v>0</v>
      </c>
      <c r="M153" s="171">
        <v>0</v>
      </c>
      <c r="N153" s="171">
        <v>0</v>
      </c>
      <c r="O153" s="164">
        <v>0</v>
      </c>
      <c r="P153" s="164">
        <v>0</v>
      </c>
      <c r="Q153" s="172">
        <f t="shared" si="26"/>
        <v>149341.30999999997</v>
      </c>
      <c r="S153" s="30">
        <f t="shared" si="28"/>
        <v>0</v>
      </c>
      <c r="T153" s="30">
        <f t="shared" si="28"/>
        <v>149341.30999999997</v>
      </c>
      <c r="U153" s="30">
        <f t="shared" si="29"/>
        <v>0</v>
      </c>
      <c r="V153" s="30">
        <f t="shared" si="29"/>
        <v>0</v>
      </c>
      <c r="W153" s="30">
        <f t="shared" si="29"/>
        <v>0</v>
      </c>
      <c r="X153" s="30">
        <f t="shared" si="29"/>
        <v>0</v>
      </c>
      <c r="Y153" s="30">
        <f t="shared" si="29"/>
        <v>0</v>
      </c>
      <c r="Z153" s="30">
        <f t="shared" si="29"/>
        <v>0</v>
      </c>
      <c r="AA153" s="30">
        <f t="shared" si="29"/>
        <v>0</v>
      </c>
      <c r="AB153" s="39">
        <f t="shared" si="25"/>
        <v>0</v>
      </c>
    </row>
    <row r="154" spans="1:28">
      <c r="A154" s="168">
        <v>3374</v>
      </c>
      <c r="B154" s="2">
        <v>141484</v>
      </c>
      <c r="C154" s="2" t="s">
        <v>354</v>
      </c>
      <c r="E154" s="171">
        <v>0</v>
      </c>
      <c r="F154" s="171">
        <v>0</v>
      </c>
      <c r="G154" s="163"/>
      <c r="H154" s="171">
        <v>35862.700000000004</v>
      </c>
      <c r="I154" s="171">
        <v>178.59333333333325</v>
      </c>
      <c r="J154" s="171">
        <v>33545.003333333327</v>
      </c>
      <c r="K154" s="163"/>
      <c r="L154" s="171">
        <v>0</v>
      </c>
      <c r="M154" s="171">
        <v>0</v>
      </c>
      <c r="N154" s="171">
        <v>0</v>
      </c>
      <c r="O154" s="164">
        <v>0</v>
      </c>
      <c r="P154" s="164">
        <v>0</v>
      </c>
      <c r="Q154" s="172">
        <f t="shared" si="26"/>
        <v>69586.296666666662</v>
      </c>
      <c r="S154" s="30">
        <f t="shared" si="28"/>
        <v>0</v>
      </c>
      <c r="T154" s="30">
        <f t="shared" si="28"/>
        <v>69586.296666666662</v>
      </c>
      <c r="U154" s="30">
        <f t="shared" si="29"/>
        <v>0</v>
      </c>
      <c r="V154" s="30">
        <f t="shared" si="29"/>
        <v>0</v>
      </c>
      <c r="W154" s="30">
        <f t="shared" si="29"/>
        <v>0</v>
      </c>
      <c r="X154" s="30">
        <f t="shared" si="29"/>
        <v>0</v>
      </c>
      <c r="Y154" s="30">
        <f t="shared" si="29"/>
        <v>0</v>
      </c>
      <c r="Z154" s="30">
        <f t="shared" si="29"/>
        <v>0</v>
      </c>
      <c r="AA154" s="30">
        <f t="shared" si="29"/>
        <v>0</v>
      </c>
      <c r="AB154" s="39">
        <f t="shared" si="25"/>
        <v>0</v>
      </c>
    </row>
    <row r="155" spans="1:28">
      <c r="A155" s="168">
        <v>3357</v>
      </c>
      <c r="B155" s="2">
        <v>148082</v>
      </c>
      <c r="C155" s="2" t="s">
        <v>355</v>
      </c>
      <c r="E155" s="171">
        <v>0</v>
      </c>
      <c r="F155" s="171">
        <v>0</v>
      </c>
      <c r="G155" s="163"/>
      <c r="H155" s="171">
        <v>25529.016666666666</v>
      </c>
      <c r="I155" s="171">
        <v>339.64999999999918</v>
      </c>
      <c r="J155" s="171">
        <v>6094.0033333333331</v>
      </c>
      <c r="K155" s="163"/>
      <c r="L155" s="171">
        <v>0</v>
      </c>
      <c r="M155" s="171">
        <v>0</v>
      </c>
      <c r="N155" s="171">
        <v>0</v>
      </c>
      <c r="O155" s="164">
        <v>0</v>
      </c>
      <c r="P155" s="164">
        <v>0</v>
      </c>
      <c r="Q155" s="172">
        <f t="shared" si="26"/>
        <v>31962.67</v>
      </c>
      <c r="S155" s="30">
        <f t="shared" si="28"/>
        <v>0</v>
      </c>
      <c r="T155" s="30">
        <f t="shared" si="28"/>
        <v>31962.67</v>
      </c>
      <c r="U155" s="30">
        <f t="shared" si="29"/>
        <v>0</v>
      </c>
      <c r="V155" s="30">
        <f t="shared" si="29"/>
        <v>0</v>
      </c>
      <c r="W155" s="30">
        <f t="shared" si="29"/>
        <v>0</v>
      </c>
      <c r="X155" s="30">
        <f t="shared" si="29"/>
        <v>0</v>
      </c>
      <c r="Y155" s="30">
        <f t="shared" si="29"/>
        <v>0</v>
      </c>
      <c r="Z155" s="30">
        <f t="shared" si="29"/>
        <v>0</v>
      </c>
      <c r="AA155" s="30">
        <f t="shared" si="29"/>
        <v>0</v>
      </c>
      <c r="AB155" s="39">
        <f t="shared" si="25"/>
        <v>0</v>
      </c>
    </row>
    <row r="156" spans="1:28">
      <c r="A156" s="168">
        <v>2021</v>
      </c>
      <c r="B156" s="2">
        <v>150148</v>
      </c>
      <c r="C156" s="2" t="s">
        <v>356</v>
      </c>
      <c r="E156" s="171">
        <v>0</v>
      </c>
      <c r="F156" s="171">
        <v>0</v>
      </c>
      <c r="G156" s="163"/>
      <c r="H156" s="171">
        <v>58484.096666666672</v>
      </c>
      <c r="I156" s="171">
        <v>785.09333333333234</v>
      </c>
      <c r="J156" s="171">
        <v>58612.340000000004</v>
      </c>
      <c r="K156" s="163"/>
      <c r="L156" s="171">
        <v>0</v>
      </c>
      <c r="M156" s="171">
        <v>0</v>
      </c>
      <c r="N156" s="171">
        <v>0</v>
      </c>
      <c r="O156" s="164">
        <v>0</v>
      </c>
      <c r="P156" s="164">
        <v>0</v>
      </c>
      <c r="Q156" s="172">
        <f t="shared" si="26"/>
        <v>117881.53</v>
      </c>
      <c r="S156" s="30">
        <f t="shared" si="28"/>
        <v>0</v>
      </c>
      <c r="T156" s="30">
        <f t="shared" si="28"/>
        <v>117881.53</v>
      </c>
      <c r="U156" s="30">
        <f t="shared" si="29"/>
        <v>0</v>
      </c>
      <c r="V156" s="30">
        <f t="shared" si="29"/>
        <v>0</v>
      </c>
      <c r="W156" s="30">
        <f t="shared" si="29"/>
        <v>0</v>
      </c>
      <c r="X156" s="30">
        <f t="shared" si="29"/>
        <v>0</v>
      </c>
      <c r="Y156" s="30">
        <f t="shared" si="29"/>
        <v>0</v>
      </c>
      <c r="Z156" s="30">
        <f t="shared" si="29"/>
        <v>0</v>
      </c>
      <c r="AA156" s="30">
        <f t="shared" si="29"/>
        <v>0</v>
      </c>
      <c r="AB156" s="39">
        <f t="shared" si="25"/>
        <v>0</v>
      </c>
    </row>
    <row r="157" spans="1:28">
      <c r="A157" s="168">
        <v>2149</v>
      </c>
      <c r="B157" s="2">
        <v>150639</v>
      </c>
      <c r="C157" s="2" t="s">
        <v>151</v>
      </c>
      <c r="E157" s="171">
        <v>0</v>
      </c>
      <c r="F157" s="171">
        <v>0</v>
      </c>
      <c r="G157" s="163"/>
      <c r="H157" s="171">
        <v>64662.633333333331</v>
      </c>
      <c r="I157" s="171">
        <v>680.03333333333194</v>
      </c>
      <c r="J157" s="171">
        <v>36762.166666666672</v>
      </c>
      <c r="K157" s="163"/>
      <c r="L157" s="171">
        <v>0</v>
      </c>
      <c r="M157" s="171">
        <v>0</v>
      </c>
      <c r="N157" s="171">
        <v>0</v>
      </c>
      <c r="O157" s="164">
        <v>0</v>
      </c>
      <c r="P157" s="164">
        <v>0</v>
      </c>
      <c r="Q157" s="172">
        <f t="shared" si="26"/>
        <v>102104.83333333334</v>
      </c>
      <c r="S157" s="30">
        <f t="shared" si="28"/>
        <v>0</v>
      </c>
      <c r="T157" s="30">
        <f t="shared" si="28"/>
        <v>102104.83333333334</v>
      </c>
      <c r="U157" s="30">
        <f t="shared" si="29"/>
        <v>0</v>
      </c>
      <c r="V157" s="30">
        <f t="shared" si="29"/>
        <v>0</v>
      </c>
      <c r="W157" s="30">
        <f t="shared" si="29"/>
        <v>0</v>
      </c>
      <c r="X157" s="30">
        <f t="shared" si="29"/>
        <v>0</v>
      </c>
      <c r="Y157" s="30">
        <f t="shared" si="29"/>
        <v>0</v>
      </c>
      <c r="Z157" s="30">
        <f t="shared" si="29"/>
        <v>0</v>
      </c>
      <c r="AA157" s="30">
        <f t="shared" si="29"/>
        <v>0</v>
      </c>
      <c r="AB157" s="39">
        <f t="shared" si="25"/>
        <v>0</v>
      </c>
    </row>
    <row r="158" spans="1:28">
      <c r="A158" s="168">
        <v>2458</v>
      </c>
      <c r="B158" s="2">
        <v>139162</v>
      </c>
      <c r="C158" s="2" t="s">
        <v>357</v>
      </c>
      <c r="E158" s="171">
        <v>0</v>
      </c>
      <c r="F158" s="171">
        <v>0</v>
      </c>
      <c r="G158" s="163"/>
      <c r="H158" s="171">
        <v>47632.373333333329</v>
      </c>
      <c r="I158" s="171">
        <v>470.8799999999992</v>
      </c>
      <c r="J158" s="171">
        <v>25893.003333333338</v>
      </c>
      <c r="K158" s="163"/>
      <c r="L158" s="171">
        <v>0</v>
      </c>
      <c r="M158" s="171">
        <v>0</v>
      </c>
      <c r="N158" s="171">
        <v>0</v>
      </c>
      <c r="O158" s="164">
        <v>0</v>
      </c>
      <c r="P158" s="164">
        <v>0</v>
      </c>
      <c r="Q158" s="172">
        <f t="shared" si="26"/>
        <v>73996.256666666668</v>
      </c>
      <c r="S158" s="30">
        <f t="shared" si="28"/>
        <v>0</v>
      </c>
      <c r="T158" s="30">
        <f t="shared" si="28"/>
        <v>73996.256666666668</v>
      </c>
      <c r="U158" s="30">
        <f t="shared" si="29"/>
        <v>0</v>
      </c>
      <c r="V158" s="30">
        <f t="shared" si="29"/>
        <v>0</v>
      </c>
      <c r="W158" s="30">
        <f t="shared" si="29"/>
        <v>0</v>
      </c>
      <c r="X158" s="30">
        <f t="shared" si="29"/>
        <v>0</v>
      </c>
      <c r="Y158" s="30">
        <f t="shared" si="29"/>
        <v>0</v>
      </c>
      <c r="Z158" s="30">
        <f t="shared" si="29"/>
        <v>0</v>
      </c>
      <c r="AA158" s="30">
        <f t="shared" si="29"/>
        <v>0</v>
      </c>
      <c r="AB158" s="39">
        <f t="shared" si="25"/>
        <v>0</v>
      </c>
    </row>
    <row r="159" spans="1:28">
      <c r="A159" s="168">
        <v>2452</v>
      </c>
      <c r="B159" s="2">
        <v>139631</v>
      </c>
      <c r="C159" s="2" t="s">
        <v>358</v>
      </c>
      <c r="E159" s="171">
        <v>0</v>
      </c>
      <c r="F159" s="171">
        <v>0</v>
      </c>
      <c r="G159" s="163"/>
      <c r="H159" s="171">
        <v>4071.38</v>
      </c>
      <c r="I159" s="171">
        <v>54.416666666666515</v>
      </c>
      <c r="J159" s="171">
        <v>10964.006666666666</v>
      </c>
      <c r="K159" s="163"/>
      <c r="L159" s="171">
        <v>0</v>
      </c>
      <c r="M159" s="171">
        <v>0</v>
      </c>
      <c r="N159" s="171">
        <v>0</v>
      </c>
      <c r="O159" s="164">
        <v>0</v>
      </c>
      <c r="P159" s="164">
        <v>0</v>
      </c>
      <c r="Q159" s="172">
        <f t="shared" si="26"/>
        <v>15089.803333333333</v>
      </c>
      <c r="S159" s="30">
        <f t="shared" si="28"/>
        <v>0</v>
      </c>
      <c r="T159" s="30">
        <f t="shared" si="28"/>
        <v>15089.803333333333</v>
      </c>
      <c r="U159" s="30">
        <f t="shared" si="29"/>
        <v>0</v>
      </c>
      <c r="V159" s="30">
        <f t="shared" si="29"/>
        <v>0</v>
      </c>
      <c r="W159" s="30">
        <f t="shared" si="29"/>
        <v>0</v>
      </c>
      <c r="X159" s="30">
        <f t="shared" si="29"/>
        <v>0</v>
      </c>
      <c r="Y159" s="30">
        <f t="shared" si="29"/>
        <v>0</v>
      </c>
      <c r="Z159" s="30">
        <f t="shared" si="29"/>
        <v>0</v>
      </c>
      <c r="AA159" s="30">
        <f t="shared" si="29"/>
        <v>0</v>
      </c>
      <c r="AB159" s="39">
        <f t="shared" si="25"/>
        <v>0</v>
      </c>
    </row>
    <row r="160" spans="1:28">
      <c r="A160" s="168">
        <v>2057</v>
      </c>
      <c r="B160" s="2">
        <v>138410</v>
      </c>
      <c r="C160" s="2" t="s">
        <v>359</v>
      </c>
      <c r="E160" s="171">
        <v>3483</v>
      </c>
      <c r="F160" s="171">
        <v>3483.3333333333335</v>
      </c>
      <c r="G160" s="163"/>
      <c r="H160" s="171">
        <v>74569.581666666665</v>
      </c>
      <c r="I160" s="171">
        <v>1229.1809999999984</v>
      </c>
      <c r="J160" s="171">
        <v>85562.673333333325</v>
      </c>
      <c r="K160" s="163"/>
      <c r="L160" s="171">
        <v>0</v>
      </c>
      <c r="M160" s="171">
        <v>0</v>
      </c>
      <c r="N160" s="171">
        <v>0</v>
      </c>
      <c r="O160" s="164">
        <v>0</v>
      </c>
      <c r="P160" s="164">
        <v>0</v>
      </c>
      <c r="Q160" s="172">
        <f t="shared" si="26"/>
        <v>168327.7693333333</v>
      </c>
      <c r="S160" s="30">
        <f t="shared" si="28"/>
        <v>0</v>
      </c>
      <c r="T160" s="30">
        <f t="shared" si="28"/>
        <v>168327.7693333333</v>
      </c>
      <c r="U160" s="30">
        <f t="shared" ref="U160:AA169" si="30">SUMIF($E$3:$O$3,U$6,$E160:$O160)</f>
        <v>0</v>
      </c>
      <c r="V160" s="30">
        <f t="shared" si="30"/>
        <v>0</v>
      </c>
      <c r="W160" s="30">
        <f t="shared" si="30"/>
        <v>0</v>
      </c>
      <c r="X160" s="30">
        <f t="shared" si="30"/>
        <v>0</v>
      </c>
      <c r="Y160" s="30">
        <f t="shared" si="30"/>
        <v>0</v>
      </c>
      <c r="Z160" s="30">
        <f t="shared" si="30"/>
        <v>0</v>
      </c>
      <c r="AA160" s="30">
        <f t="shared" si="30"/>
        <v>0</v>
      </c>
      <c r="AB160" s="39">
        <f t="shared" si="25"/>
        <v>0</v>
      </c>
    </row>
    <row r="161" spans="1:28">
      <c r="A161" s="168">
        <v>4331</v>
      </c>
      <c r="B161" s="2">
        <v>137053</v>
      </c>
      <c r="C161" s="2" t="s">
        <v>360</v>
      </c>
      <c r="E161" s="171">
        <v>0</v>
      </c>
      <c r="F161" s="171">
        <v>0</v>
      </c>
      <c r="G161" s="163"/>
      <c r="H161" s="171">
        <v>75894.24500000001</v>
      </c>
      <c r="I161" s="171">
        <v>1518.5883333333309</v>
      </c>
      <c r="J161" s="171">
        <v>133310.66333333333</v>
      </c>
      <c r="K161" s="163"/>
      <c r="L161" s="171">
        <v>0</v>
      </c>
      <c r="M161" s="171">
        <v>0</v>
      </c>
      <c r="N161" s="171">
        <v>0</v>
      </c>
      <c r="O161" s="164">
        <v>0</v>
      </c>
      <c r="P161" s="164">
        <v>0</v>
      </c>
      <c r="Q161" s="172">
        <f t="shared" si="26"/>
        <v>210723.49666666667</v>
      </c>
      <c r="S161" s="30">
        <f t="shared" si="28"/>
        <v>0</v>
      </c>
      <c r="T161" s="30">
        <f t="shared" si="28"/>
        <v>210723.49666666667</v>
      </c>
      <c r="U161" s="30">
        <f t="shared" si="30"/>
        <v>0</v>
      </c>
      <c r="V161" s="30">
        <f t="shared" si="30"/>
        <v>0</v>
      </c>
      <c r="W161" s="30">
        <f t="shared" si="30"/>
        <v>0</v>
      </c>
      <c r="X161" s="30">
        <f t="shared" si="30"/>
        <v>0</v>
      </c>
      <c r="Y161" s="30">
        <f t="shared" si="30"/>
        <v>0</v>
      </c>
      <c r="Z161" s="30">
        <f t="shared" si="30"/>
        <v>0</v>
      </c>
      <c r="AA161" s="30">
        <f t="shared" si="30"/>
        <v>0</v>
      </c>
      <c r="AB161" s="39">
        <f t="shared" si="25"/>
        <v>0</v>
      </c>
    </row>
    <row r="162" spans="1:28">
      <c r="A162" s="168">
        <v>4041</v>
      </c>
      <c r="B162" s="2">
        <v>148553</v>
      </c>
      <c r="C162" s="2" t="s">
        <v>361</v>
      </c>
      <c r="E162" s="171">
        <v>0</v>
      </c>
      <c r="F162" s="171">
        <v>0</v>
      </c>
      <c r="G162" s="163"/>
      <c r="H162" s="171">
        <v>50666</v>
      </c>
      <c r="I162" s="171">
        <v>838.86333333333209</v>
      </c>
      <c r="J162" s="171">
        <v>56160.066666666666</v>
      </c>
      <c r="K162" s="163"/>
      <c r="L162" s="171">
        <v>0</v>
      </c>
      <c r="M162" s="171">
        <v>0</v>
      </c>
      <c r="N162" s="171">
        <v>0</v>
      </c>
      <c r="O162" s="164">
        <v>0</v>
      </c>
      <c r="P162" s="164">
        <v>0</v>
      </c>
      <c r="Q162" s="172">
        <f t="shared" si="26"/>
        <v>107664.93</v>
      </c>
      <c r="S162" s="30">
        <f t="shared" si="28"/>
        <v>0</v>
      </c>
      <c r="T162" s="30">
        <f t="shared" si="28"/>
        <v>107664.93</v>
      </c>
      <c r="U162" s="30">
        <f t="shared" si="30"/>
        <v>0</v>
      </c>
      <c r="V162" s="30">
        <f t="shared" si="30"/>
        <v>0</v>
      </c>
      <c r="W162" s="30">
        <f t="shared" si="30"/>
        <v>0</v>
      </c>
      <c r="X162" s="30">
        <f t="shared" si="30"/>
        <v>0</v>
      </c>
      <c r="Y162" s="30">
        <f t="shared" si="30"/>
        <v>0</v>
      </c>
      <c r="Z162" s="30">
        <f t="shared" si="30"/>
        <v>0</v>
      </c>
      <c r="AA162" s="30">
        <f t="shared" si="30"/>
        <v>0</v>
      </c>
      <c r="AB162" s="39">
        <f t="shared" si="25"/>
        <v>0</v>
      </c>
    </row>
    <row r="163" spans="1:28">
      <c r="A163" s="168">
        <v>2003</v>
      </c>
      <c r="B163" s="2">
        <v>142230</v>
      </c>
      <c r="C163" s="2" t="s">
        <v>362</v>
      </c>
      <c r="E163" s="171">
        <v>0</v>
      </c>
      <c r="F163" s="171">
        <v>0</v>
      </c>
      <c r="G163" s="163"/>
      <c r="H163" s="171">
        <v>69149.656666666677</v>
      </c>
      <c r="I163" s="171">
        <v>1132.0399999999981</v>
      </c>
      <c r="J163" s="171">
        <v>50193.006666666661</v>
      </c>
      <c r="K163" s="163"/>
      <c r="L163" s="171">
        <v>0</v>
      </c>
      <c r="M163" s="171">
        <v>0</v>
      </c>
      <c r="N163" s="171">
        <v>0</v>
      </c>
      <c r="O163" s="164">
        <v>0</v>
      </c>
      <c r="P163" s="164">
        <v>0</v>
      </c>
      <c r="Q163" s="172">
        <f t="shared" si="26"/>
        <v>120474.70333333334</v>
      </c>
      <c r="S163" s="30">
        <f t="shared" si="28"/>
        <v>0</v>
      </c>
      <c r="T163" s="30">
        <f t="shared" si="28"/>
        <v>120474.70333333334</v>
      </c>
      <c r="U163" s="30">
        <f t="shared" si="30"/>
        <v>0</v>
      </c>
      <c r="V163" s="30">
        <f t="shared" si="30"/>
        <v>0</v>
      </c>
      <c r="W163" s="30">
        <f t="shared" si="30"/>
        <v>0</v>
      </c>
      <c r="X163" s="30">
        <f t="shared" si="30"/>
        <v>0</v>
      </c>
      <c r="Y163" s="30">
        <f t="shared" si="30"/>
        <v>0</v>
      </c>
      <c r="Z163" s="30">
        <f t="shared" si="30"/>
        <v>0</v>
      </c>
      <c r="AA163" s="30">
        <f t="shared" si="30"/>
        <v>0</v>
      </c>
      <c r="AB163" s="39">
        <f t="shared" si="25"/>
        <v>0</v>
      </c>
    </row>
    <row r="164" spans="1:28">
      <c r="A164" s="168">
        <v>2156</v>
      </c>
      <c r="B164" s="2">
        <v>143436</v>
      </c>
      <c r="C164" s="2" t="s">
        <v>363</v>
      </c>
      <c r="E164" s="171">
        <v>0</v>
      </c>
      <c r="F164" s="171">
        <v>0</v>
      </c>
      <c r="G164" s="163"/>
      <c r="H164" s="171">
        <v>30182.469999999998</v>
      </c>
      <c r="I164" s="171">
        <v>461.82666666666591</v>
      </c>
      <c r="J164" s="171">
        <v>30004</v>
      </c>
      <c r="K164" s="163"/>
      <c r="L164" s="171">
        <v>0</v>
      </c>
      <c r="M164" s="171">
        <v>0</v>
      </c>
      <c r="N164" s="171">
        <v>0</v>
      </c>
      <c r="O164" s="164">
        <v>0</v>
      </c>
      <c r="P164" s="164">
        <v>0</v>
      </c>
      <c r="Q164" s="172">
        <f t="shared" si="26"/>
        <v>60648.296666666662</v>
      </c>
      <c r="S164" s="30">
        <f t="shared" si="28"/>
        <v>0</v>
      </c>
      <c r="T164" s="30">
        <f t="shared" si="28"/>
        <v>60648.296666666662</v>
      </c>
      <c r="U164" s="30">
        <f t="shared" si="30"/>
        <v>0</v>
      </c>
      <c r="V164" s="30">
        <f t="shared" si="30"/>
        <v>0</v>
      </c>
      <c r="W164" s="30">
        <f t="shared" si="30"/>
        <v>0</v>
      </c>
      <c r="X164" s="30">
        <f t="shared" si="30"/>
        <v>0</v>
      </c>
      <c r="Y164" s="30">
        <f t="shared" si="30"/>
        <v>0</v>
      </c>
      <c r="Z164" s="30">
        <f t="shared" si="30"/>
        <v>0</v>
      </c>
      <c r="AA164" s="30">
        <f t="shared" si="30"/>
        <v>0</v>
      </c>
      <c r="AB164" s="39">
        <f t="shared" si="25"/>
        <v>0</v>
      </c>
    </row>
    <row r="165" spans="1:28">
      <c r="A165" s="168">
        <v>2198</v>
      </c>
      <c r="B165" s="2">
        <v>146817</v>
      </c>
      <c r="C165" s="2" t="s">
        <v>364</v>
      </c>
      <c r="E165" s="171">
        <v>0</v>
      </c>
      <c r="F165" s="171">
        <v>0</v>
      </c>
      <c r="G165" s="163"/>
      <c r="H165" s="171">
        <v>37655.776666666665</v>
      </c>
      <c r="I165" s="171">
        <v>753.55666666666571</v>
      </c>
      <c r="J165" s="171">
        <v>57936.673333333325</v>
      </c>
      <c r="K165" s="163"/>
      <c r="L165" s="171">
        <v>0</v>
      </c>
      <c r="M165" s="171">
        <v>0</v>
      </c>
      <c r="N165" s="171">
        <v>0</v>
      </c>
      <c r="O165" s="164">
        <v>0</v>
      </c>
      <c r="P165" s="164">
        <v>0</v>
      </c>
      <c r="Q165" s="172">
        <f t="shared" si="26"/>
        <v>96346.006666666653</v>
      </c>
      <c r="S165" s="30">
        <f t="shared" si="28"/>
        <v>0</v>
      </c>
      <c r="T165" s="30">
        <f t="shared" si="28"/>
        <v>96346.006666666653</v>
      </c>
      <c r="U165" s="30">
        <f t="shared" si="30"/>
        <v>0</v>
      </c>
      <c r="V165" s="30">
        <f t="shared" si="30"/>
        <v>0</v>
      </c>
      <c r="W165" s="30">
        <f t="shared" si="30"/>
        <v>0</v>
      </c>
      <c r="X165" s="30">
        <f t="shared" si="30"/>
        <v>0</v>
      </c>
      <c r="Y165" s="30">
        <f t="shared" si="30"/>
        <v>0</v>
      </c>
      <c r="Z165" s="30">
        <f t="shared" si="30"/>
        <v>0</v>
      </c>
      <c r="AA165" s="30">
        <f t="shared" si="30"/>
        <v>0</v>
      </c>
      <c r="AB165" s="39">
        <f t="shared" si="25"/>
        <v>0</v>
      </c>
    </row>
    <row r="166" spans="1:28">
      <c r="A166" s="168">
        <v>7001</v>
      </c>
      <c r="B166" s="2">
        <v>146858</v>
      </c>
      <c r="C166" s="2" t="s">
        <v>365</v>
      </c>
      <c r="E166" s="171">
        <v>0</v>
      </c>
      <c r="F166" s="171">
        <v>0</v>
      </c>
      <c r="G166" s="163"/>
      <c r="H166" s="171">
        <v>0</v>
      </c>
      <c r="I166" s="171">
        <v>0</v>
      </c>
      <c r="J166" s="171">
        <v>0</v>
      </c>
      <c r="K166" s="163"/>
      <c r="L166" s="171">
        <v>0</v>
      </c>
      <c r="M166" s="171">
        <v>0</v>
      </c>
      <c r="N166" s="171">
        <v>0</v>
      </c>
      <c r="O166" s="164">
        <v>0</v>
      </c>
      <c r="P166" s="164">
        <v>0</v>
      </c>
      <c r="Q166" s="172">
        <f t="shared" si="26"/>
        <v>0</v>
      </c>
      <c r="S166" s="30">
        <f t="shared" si="28"/>
        <v>0</v>
      </c>
      <c r="T166" s="30">
        <f t="shared" si="28"/>
        <v>0</v>
      </c>
      <c r="U166" s="30">
        <f t="shared" si="30"/>
        <v>0</v>
      </c>
      <c r="V166" s="30">
        <f t="shared" si="30"/>
        <v>0</v>
      </c>
      <c r="W166" s="30">
        <f t="shared" si="30"/>
        <v>0</v>
      </c>
      <c r="X166" s="30">
        <f t="shared" si="30"/>
        <v>0</v>
      </c>
      <c r="Y166" s="30">
        <f t="shared" si="30"/>
        <v>0</v>
      </c>
      <c r="Z166" s="30">
        <f t="shared" si="30"/>
        <v>0</v>
      </c>
      <c r="AA166" s="30">
        <f t="shared" si="30"/>
        <v>0</v>
      </c>
      <c r="AB166" s="39">
        <f t="shared" si="25"/>
        <v>0</v>
      </c>
    </row>
    <row r="167" spans="1:28">
      <c r="A167" s="168">
        <v>3004</v>
      </c>
      <c r="B167" s="2">
        <v>143439</v>
      </c>
      <c r="C167" s="2" t="s">
        <v>366</v>
      </c>
      <c r="E167" s="171">
        <v>0</v>
      </c>
      <c r="F167" s="171">
        <v>0</v>
      </c>
      <c r="G167" s="163"/>
      <c r="H167" s="171">
        <v>0</v>
      </c>
      <c r="I167" s="171">
        <v>0</v>
      </c>
      <c r="J167" s="171">
        <v>0</v>
      </c>
      <c r="K167" s="163"/>
      <c r="L167" s="171">
        <v>0</v>
      </c>
      <c r="M167" s="171">
        <v>0</v>
      </c>
      <c r="N167" s="171">
        <v>0</v>
      </c>
      <c r="O167" s="164">
        <v>0</v>
      </c>
      <c r="P167" s="164">
        <v>0</v>
      </c>
      <c r="Q167" s="172">
        <f t="shared" si="26"/>
        <v>0</v>
      </c>
      <c r="S167" s="30">
        <f t="shared" si="28"/>
        <v>0</v>
      </c>
      <c r="T167" s="30">
        <f t="shared" si="28"/>
        <v>0</v>
      </c>
      <c r="U167" s="30">
        <f t="shared" si="30"/>
        <v>0</v>
      </c>
      <c r="V167" s="30">
        <f t="shared" si="30"/>
        <v>0</v>
      </c>
      <c r="W167" s="30">
        <f t="shared" si="30"/>
        <v>0</v>
      </c>
      <c r="X167" s="30">
        <f t="shared" si="30"/>
        <v>0</v>
      </c>
      <c r="Y167" s="30">
        <f t="shared" si="30"/>
        <v>0</v>
      </c>
      <c r="Z167" s="30">
        <f t="shared" si="30"/>
        <v>0</v>
      </c>
      <c r="AA167" s="30">
        <f t="shared" si="30"/>
        <v>0</v>
      </c>
      <c r="AB167" s="39">
        <f t="shared" si="25"/>
        <v>0</v>
      </c>
    </row>
    <row r="168" spans="1:28">
      <c r="A168" s="168">
        <v>1107</v>
      </c>
      <c r="B168" s="2">
        <v>139671</v>
      </c>
      <c r="C168" s="2" t="s">
        <v>367</v>
      </c>
      <c r="E168" s="171">
        <v>0</v>
      </c>
      <c r="F168" s="171">
        <v>0</v>
      </c>
      <c r="G168" s="163"/>
      <c r="H168" s="171">
        <v>0</v>
      </c>
      <c r="I168" s="171">
        <v>0</v>
      </c>
      <c r="J168" s="171">
        <v>0</v>
      </c>
      <c r="K168" s="163"/>
      <c r="L168" s="171">
        <v>0</v>
      </c>
      <c r="M168" s="171">
        <v>0</v>
      </c>
      <c r="N168" s="171">
        <v>0</v>
      </c>
      <c r="O168" s="164">
        <v>0</v>
      </c>
      <c r="P168" s="164">
        <v>0</v>
      </c>
      <c r="Q168" s="172">
        <f t="shared" si="26"/>
        <v>0</v>
      </c>
      <c r="S168" s="30">
        <f t="shared" si="28"/>
        <v>0</v>
      </c>
      <c r="T168" s="30">
        <f t="shared" si="28"/>
        <v>0</v>
      </c>
      <c r="U168" s="30">
        <f t="shared" si="30"/>
        <v>0</v>
      </c>
      <c r="V168" s="30">
        <f t="shared" si="30"/>
        <v>0</v>
      </c>
      <c r="W168" s="30">
        <f t="shared" si="30"/>
        <v>0</v>
      </c>
      <c r="X168" s="30">
        <f t="shared" si="30"/>
        <v>0</v>
      </c>
      <c r="Y168" s="30">
        <f t="shared" si="30"/>
        <v>0</v>
      </c>
      <c r="Z168" s="30">
        <f t="shared" si="30"/>
        <v>0</v>
      </c>
      <c r="AA168" s="30">
        <f t="shared" si="30"/>
        <v>0</v>
      </c>
      <c r="AB168" s="39">
        <f t="shared" si="25"/>
        <v>0</v>
      </c>
    </row>
    <row r="169" spans="1:28">
      <c r="A169" s="168">
        <v>2080</v>
      </c>
      <c r="B169" s="2">
        <v>139002</v>
      </c>
      <c r="C169" s="2" t="s">
        <v>368</v>
      </c>
      <c r="E169" s="171">
        <v>0</v>
      </c>
      <c r="F169" s="171">
        <v>0</v>
      </c>
      <c r="G169" s="163"/>
      <c r="H169" s="171">
        <v>14692.433333333334</v>
      </c>
      <c r="I169" s="171">
        <v>290.89999999999941</v>
      </c>
      <c r="J169" s="171">
        <v>17253.666666666668</v>
      </c>
      <c r="K169" s="163"/>
      <c r="L169" s="171">
        <v>0</v>
      </c>
      <c r="M169" s="171">
        <v>0</v>
      </c>
      <c r="N169" s="171">
        <v>0</v>
      </c>
      <c r="O169" s="164">
        <v>0</v>
      </c>
      <c r="P169" s="164">
        <v>0</v>
      </c>
      <c r="Q169" s="172">
        <f t="shared" si="26"/>
        <v>32237</v>
      </c>
      <c r="S169" s="30">
        <f t="shared" si="28"/>
        <v>0</v>
      </c>
      <c r="T169" s="30">
        <f t="shared" si="28"/>
        <v>32237</v>
      </c>
      <c r="U169" s="30">
        <f t="shared" si="30"/>
        <v>0</v>
      </c>
      <c r="V169" s="30">
        <f t="shared" si="30"/>
        <v>0</v>
      </c>
      <c r="W169" s="30">
        <f t="shared" si="30"/>
        <v>0</v>
      </c>
      <c r="X169" s="30">
        <f t="shared" si="30"/>
        <v>0</v>
      </c>
      <c r="Y169" s="30">
        <f t="shared" si="30"/>
        <v>0</v>
      </c>
      <c r="Z169" s="30">
        <f t="shared" si="30"/>
        <v>0</v>
      </c>
      <c r="AA169" s="30">
        <f t="shared" si="30"/>
        <v>0</v>
      </c>
      <c r="AB169" s="39">
        <f t="shared" si="25"/>
        <v>0</v>
      </c>
    </row>
    <row r="170" spans="1:28">
      <c r="A170" s="168">
        <v>2460</v>
      </c>
      <c r="B170" s="2">
        <v>140262</v>
      </c>
      <c r="C170" s="2" t="s">
        <v>369</v>
      </c>
      <c r="E170" s="171">
        <v>0</v>
      </c>
      <c r="F170" s="171">
        <v>0</v>
      </c>
      <c r="G170" s="163"/>
      <c r="H170" s="171">
        <v>47333.956666666672</v>
      </c>
      <c r="I170" s="171">
        <v>812.62666666666519</v>
      </c>
      <c r="J170" s="171">
        <v>48098.33</v>
      </c>
      <c r="K170" s="163"/>
      <c r="L170" s="171">
        <v>0</v>
      </c>
      <c r="M170" s="171">
        <v>0</v>
      </c>
      <c r="N170" s="171">
        <v>0</v>
      </c>
      <c r="O170" s="164">
        <v>0</v>
      </c>
      <c r="P170" s="164">
        <v>0</v>
      </c>
      <c r="Q170" s="172">
        <f t="shared" si="26"/>
        <v>96244.91333333333</v>
      </c>
      <c r="S170" s="30">
        <f t="shared" ref="S170:T189" si="31">SUMIF($E$3:$P$3,S$6,$E170:$P170)</f>
        <v>0</v>
      </c>
      <c r="T170" s="30">
        <f t="shared" si="31"/>
        <v>96244.91333333333</v>
      </c>
      <c r="U170" s="30">
        <f t="shared" ref="U170:AA179" si="32">SUMIF($E$3:$O$3,U$6,$E170:$O170)</f>
        <v>0</v>
      </c>
      <c r="V170" s="30">
        <f t="shared" si="32"/>
        <v>0</v>
      </c>
      <c r="W170" s="30">
        <f t="shared" si="32"/>
        <v>0</v>
      </c>
      <c r="X170" s="30">
        <f t="shared" si="32"/>
        <v>0</v>
      </c>
      <c r="Y170" s="30">
        <f t="shared" si="32"/>
        <v>0</v>
      </c>
      <c r="Z170" s="30">
        <f t="shared" si="32"/>
        <v>0</v>
      </c>
      <c r="AA170" s="30">
        <f t="shared" si="32"/>
        <v>0</v>
      </c>
      <c r="AB170" s="39">
        <f t="shared" si="25"/>
        <v>0</v>
      </c>
    </row>
    <row r="171" spans="1:28">
      <c r="A171" s="168">
        <v>4323</v>
      </c>
      <c r="B171" s="2">
        <v>138059</v>
      </c>
      <c r="C171" s="2" t="s">
        <v>370</v>
      </c>
      <c r="E171" s="171">
        <v>0</v>
      </c>
      <c r="F171" s="171">
        <v>0</v>
      </c>
      <c r="G171" s="163"/>
      <c r="H171" s="171">
        <v>32184.973333333332</v>
      </c>
      <c r="I171" s="171">
        <v>647.02666666666573</v>
      </c>
      <c r="J171" s="171">
        <v>52087.666666666672</v>
      </c>
      <c r="K171" s="163"/>
      <c r="L171" s="171">
        <v>0</v>
      </c>
      <c r="M171" s="171">
        <v>0</v>
      </c>
      <c r="N171" s="171">
        <v>0</v>
      </c>
      <c r="O171" s="164">
        <v>0</v>
      </c>
      <c r="P171" s="164">
        <v>0</v>
      </c>
      <c r="Q171" s="172">
        <f t="shared" si="26"/>
        <v>84919.666666666672</v>
      </c>
      <c r="S171" s="30">
        <f t="shared" si="31"/>
        <v>0</v>
      </c>
      <c r="T171" s="30">
        <f t="shared" si="31"/>
        <v>84919.666666666672</v>
      </c>
      <c r="U171" s="30">
        <f t="shared" si="32"/>
        <v>0</v>
      </c>
      <c r="V171" s="30">
        <f t="shared" si="32"/>
        <v>0</v>
      </c>
      <c r="W171" s="30">
        <f t="shared" si="32"/>
        <v>0</v>
      </c>
      <c r="X171" s="30">
        <f t="shared" si="32"/>
        <v>0</v>
      </c>
      <c r="Y171" s="30">
        <f t="shared" si="32"/>
        <v>0</v>
      </c>
      <c r="Z171" s="30">
        <f t="shared" si="32"/>
        <v>0</v>
      </c>
      <c r="AA171" s="30">
        <f t="shared" si="32"/>
        <v>0</v>
      </c>
      <c r="AB171" s="39">
        <f t="shared" si="25"/>
        <v>0</v>
      </c>
    </row>
    <row r="172" spans="1:28">
      <c r="A172" s="168">
        <v>2481</v>
      </c>
      <c r="B172" s="2">
        <v>137168</v>
      </c>
      <c r="C172" s="2" t="s">
        <v>371</v>
      </c>
      <c r="E172" s="171">
        <v>0</v>
      </c>
      <c r="F172" s="171">
        <v>0</v>
      </c>
      <c r="G172" s="163"/>
      <c r="H172" s="171">
        <v>32504.733333333334</v>
      </c>
      <c r="I172" s="171">
        <v>444.79666666666617</v>
      </c>
      <c r="J172" s="171">
        <v>24572.833333333336</v>
      </c>
      <c r="K172" s="163"/>
      <c r="L172" s="171">
        <v>0</v>
      </c>
      <c r="M172" s="171">
        <v>0</v>
      </c>
      <c r="N172" s="171">
        <v>0</v>
      </c>
      <c r="O172" s="164">
        <v>0</v>
      </c>
      <c r="P172" s="164">
        <v>0</v>
      </c>
      <c r="Q172" s="172">
        <f t="shared" si="26"/>
        <v>57522.363333333335</v>
      </c>
      <c r="S172" s="30">
        <f t="shared" si="31"/>
        <v>0</v>
      </c>
      <c r="T172" s="30">
        <f t="shared" si="31"/>
        <v>57522.363333333335</v>
      </c>
      <c r="U172" s="30">
        <f t="shared" si="32"/>
        <v>0</v>
      </c>
      <c r="V172" s="30">
        <f t="shared" si="32"/>
        <v>0</v>
      </c>
      <c r="W172" s="30">
        <f t="shared" si="32"/>
        <v>0</v>
      </c>
      <c r="X172" s="30">
        <f t="shared" si="32"/>
        <v>0</v>
      </c>
      <c r="Y172" s="30">
        <f t="shared" si="32"/>
        <v>0</v>
      </c>
      <c r="Z172" s="30">
        <f t="shared" si="32"/>
        <v>0</v>
      </c>
      <c r="AA172" s="30">
        <f t="shared" si="32"/>
        <v>0</v>
      </c>
      <c r="AB172" s="39">
        <f t="shared" si="25"/>
        <v>0</v>
      </c>
    </row>
    <row r="173" spans="1:28">
      <c r="A173" s="168">
        <v>2202</v>
      </c>
      <c r="B173" s="2">
        <v>147109</v>
      </c>
      <c r="C173" s="2" t="s">
        <v>372</v>
      </c>
      <c r="E173" s="171">
        <v>0</v>
      </c>
      <c r="F173" s="171">
        <v>0</v>
      </c>
      <c r="G173" s="163"/>
      <c r="H173" s="171">
        <v>28593.266666666666</v>
      </c>
      <c r="I173" s="171">
        <v>332.81433333333302</v>
      </c>
      <c r="J173" s="171">
        <v>22010.00333333333</v>
      </c>
      <c r="K173" s="163"/>
      <c r="L173" s="171">
        <v>0</v>
      </c>
      <c r="M173" s="171">
        <v>0</v>
      </c>
      <c r="N173" s="171">
        <v>0</v>
      </c>
      <c r="O173" s="164">
        <v>0</v>
      </c>
      <c r="P173" s="164">
        <v>0</v>
      </c>
      <c r="Q173" s="172">
        <f t="shared" si="26"/>
        <v>50936.084333333332</v>
      </c>
      <c r="S173" s="30">
        <f t="shared" si="31"/>
        <v>0</v>
      </c>
      <c r="T173" s="30">
        <f t="shared" si="31"/>
        <v>50936.084333333332</v>
      </c>
      <c r="U173" s="30">
        <f t="shared" si="32"/>
        <v>0</v>
      </c>
      <c r="V173" s="30">
        <f t="shared" si="32"/>
        <v>0</v>
      </c>
      <c r="W173" s="30">
        <f t="shared" si="32"/>
        <v>0</v>
      </c>
      <c r="X173" s="30">
        <f t="shared" si="32"/>
        <v>0</v>
      </c>
      <c r="Y173" s="30">
        <f t="shared" si="32"/>
        <v>0</v>
      </c>
      <c r="Z173" s="30">
        <f t="shared" si="32"/>
        <v>0</v>
      </c>
      <c r="AA173" s="30">
        <f t="shared" si="32"/>
        <v>0</v>
      </c>
      <c r="AB173" s="39">
        <f t="shared" si="25"/>
        <v>0</v>
      </c>
    </row>
    <row r="174" spans="1:28">
      <c r="A174" s="168">
        <v>3302</v>
      </c>
      <c r="B174" s="2">
        <v>147478</v>
      </c>
      <c r="C174" s="2" t="s">
        <v>373</v>
      </c>
      <c r="E174" s="171">
        <v>0</v>
      </c>
      <c r="F174" s="171">
        <v>0</v>
      </c>
      <c r="G174" s="163"/>
      <c r="H174" s="171">
        <v>104236.57666666668</v>
      </c>
      <c r="I174" s="171">
        <v>1373.5033333333301</v>
      </c>
      <c r="J174" s="171">
        <v>70307.673333333325</v>
      </c>
      <c r="K174" s="163"/>
      <c r="L174" s="171">
        <v>0</v>
      </c>
      <c r="M174" s="171">
        <v>0</v>
      </c>
      <c r="N174" s="171">
        <v>0</v>
      </c>
      <c r="O174" s="164">
        <v>0</v>
      </c>
      <c r="P174" s="164">
        <v>0</v>
      </c>
      <c r="Q174" s="172">
        <f t="shared" si="26"/>
        <v>175917.75333333333</v>
      </c>
      <c r="S174" s="30">
        <f t="shared" si="31"/>
        <v>0</v>
      </c>
      <c r="T174" s="30">
        <f t="shared" si="31"/>
        <v>175917.75333333333</v>
      </c>
      <c r="U174" s="30">
        <f t="shared" si="32"/>
        <v>0</v>
      </c>
      <c r="V174" s="30">
        <f t="shared" si="32"/>
        <v>0</v>
      </c>
      <c r="W174" s="30">
        <f t="shared" si="32"/>
        <v>0</v>
      </c>
      <c r="X174" s="30">
        <f t="shared" si="32"/>
        <v>0</v>
      </c>
      <c r="Y174" s="30">
        <f t="shared" si="32"/>
        <v>0</v>
      </c>
      <c r="Z174" s="30">
        <f t="shared" si="32"/>
        <v>0</v>
      </c>
      <c r="AA174" s="30">
        <f t="shared" si="32"/>
        <v>0</v>
      </c>
      <c r="AB174" s="39">
        <f t="shared" si="25"/>
        <v>0</v>
      </c>
    </row>
    <row r="175" spans="1:28">
      <c r="A175" s="168">
        <v>4018</v>
      </c>
      <c r="B175" s="2">
        <v>141668</v>
      </c>
      <c r="C175" s="2" t="s">
        <v>374</v>
      </c>
      <c r="E175" s="171">
        <v>0</v>
      </c>
      <c r="F175" s="171">
        <v>0</v>
      </c>
      <c r="G175" s="163"/>
      <c r="H175" s="171">
        <v>32920.836666666662</v>
      </c>
      <c r="I175" s="171">
        <v>662.16333333333228</v>
      </c>
      <c r="J175" s="171">
        <v>49346.333333333328</v>
      </c>
      <c r="K175" s="163"/>
      <c r="L175" s="171">
        <v>62995.375</v>
      </c>
      <c r="M175" s="171">
        <v>0</v>
      </c>
      <c r="N175" s="171">
        <v>0</v>
      </c>
      <c r="O175" s="164">
        <v>0</v>
      </c>
      <c r="P175" s="164">
        <v>0</v>
      </c>
      <c r="Q175" s="172">
        <f t="shared" si="26"/>
        <v>145924.70833333331</v>
      </c>
      <c r="S175" s="30">
        <f t="shared" si="31"/>
        <v>62995.375</v>
      </c>
      <c r="T175" s="30">
        <f t="shared" si="31"/>
        <v>82929.333333333314</v>
      </c>
      <c r="U175" s="30">
        <f t="shared" si="32"/>
        <v>0</v>
      </c>
      <c r="V175" s="30">
        <f t="shared" si="32"/>
        <v>0</v>
      </c>
      <c r="W175" s="30">
        <f t="shared" si="32"/>
        <v>0</v>
      </c>
      <c r="X175" s="30">
        <f t="shared" si="32"/>
        <v>0</v>
      </c>
      <c r="Y175" s="30">
        <f t="shared" si="32"/>
        <v>0</v>
      </c>
      <c r="Z175" s="30">
        <f t="shared" si="32"/>
        <v>0</v>
      </c>
      <c r="AA175" s="30">
        <f t="shared" si="32"/>
        <v>0</v>
      </c>
      <c r="AB175" s="39">
        <f t="shared" si="25"/>
        <v>0</v>
      </c>
    </row>
    <row r="176" spans="1:28">
      <c r="A176" s="168">
        <v>2037</v>
      </c>
      <c r="B176" s="2">
        <v>138590</v>
      </c>
      <c r="C176" s="2" t="s">
        <v>375</v>
      </c>
      <c r="E176" s="171">
        <v>0</v>
      </c>
      <c r="F176" s="171">
        <v>0</v>
      </c>
      <c r="G176" s="163"/>
      <c r="H176" s="171">
        <v>28946.05</v>
      </c>
      <c r="I176" s="171">
        <v>577.61666666666542</v>
      </c>
      <c r="J176" s="171">
        <v>61014.333333333321</v>
      </c>
      <c r="K176" s="163"/>
      <c r="L176" s="171">
        <v>0</v>
      </c>
      <c r="M176" s="171">
        <v>0</v>
      </c>
      <c r="N176" s="171">
        <v>0</v>
      </c>
      <c r="O176" s="164">
        <v>0</v>
      </c>
      <c r="P176" s="164">
        <v>0</v>
      </c>
      <c r="Q176" s="172">
        <f t="shared" si="26"/>
        <v>90537.999999999985</v>
      </c>
      <c r="S176" s="30">
        <f t="shared" si="31"/>
        <v>0</v>
      </c>
      <c r="T176" s="30">
        <f t="shared" si="31"/>
        <v>90537.999999999985</v>
      </c>
      <c r="U176" s="30">
        <f t="shared" si="32"/>
        <v>0</v>
      </c>
      <c r="V176" s="30">
        <f t="shared" si="32"/>
        <v>0</v>
      </c>
      <c r="W176" s="30">
        <f t="shared" si="32"/>
        <v>0</v>
      </c>
      <c r="X176" s="30">
        <f t="shared" si="32"/>
        <v>0</v>
      </c>
      <c r="Y176" s="30">
        <f t="shared" si="32"/>
        <v>0</v>
      </c>
      <c r="Z176" s="30">
        <f t="shared" si="32"/>
        <v>0</v>
      </c>
      <c r="AA176" s="30">
        <f t="shared" si="32"/>
        <v>0</v>
      </c>
      <c r="AB176" s="39">
        <f t="shared" si="25"/>
        <v>0</v>
      </c>
    </row>
    <row r="177" spans="1:28">
      <c r="A177" s="168">
        <v>4025</v>
      </c>
      <c r="B177" s="2">
        <v>144464</v>
      </c>
      <c r="C177" s="2" t="s">
        <v>376</v>
      </c>
      <c r="E177" s="171">
        <v>0</v>
      </c>
      <c r="F177" s="171">
        <v>0</v>
      </c>
      <c r="G177" s="163"/>
      <c r="H177" s="171">
        <v>24018.096666666668</v>
      </c>
      <c r="I177" s="171">
        <v>481.56999999999903</v>
      </c>
      <c r="J177" s="171">
        <v>25608.996666666673</v>
      </c>
      <c r="K177" s="163"/>
      <c r="L177" s="171">
        <v>0</v>
      </c>
      <c r="M177" s="171">
        <v>0</v>
      </c>
      <c r="N177" s="171">
        <v>0</v>
      </c>
      <c r="O177" s="164">
        <v>0</v>
      </c>
      <c r="P177" s="164">
        <v>0</v>
      </c>
      <c r="Q177" s="172">
        <f t="shared" si="26"/>
        <v>50108.663333333345</v>
      </c>
      <c r="S177" s="30">
        <f t="shared" si="31"/>
        <v>0</v>
      </c>
      <c r="T177" s="30">
        <f t="shared" si="31"/>
        <v>50108.663333333345</v>
      </c>
      <c r="U177" s="30">
        <f t="shared" si="32"/>
        <v>0</v>
      </c>
      <c r="V177" s="30">
        <f t="shared" si="32"/>
        <v>0</v>
      </c>
      <c r="W177" s="30">
        <f t="shared" si="32"/>
        <v>0</v>
      </c>
      <c r="X177" s="30">
        <f t="shared" si="32"/>
        <v>0</v>
      </c>
      <c r="Y177" s="30">
        <f t="shared" si="32"/>
        <v>0</v>
      </c>
      <c r="Z177" s="30">
        <f t="shared" si="32"/>
        <v>0</v>
      </c>
      <c r="AA177" s="30">
        <f t="shared" si="32"/>
        <v>0</v>
      </c>
      <c r="AB177" s="39">
        <f t="shared" si="25"/>
        <v>0</v>
      </c>
    </row>
    <row r="178" spans="1:28">
      <c r="A178" s="168">
        <v>2181</v>
      </c>
      <c r="B178" s="2">
        <v>144722</v>
      </c>
      <c r="C178" s="2" t="s">
        <v>377</v>
      </c>
      <c r="E178" s="171">
        <v>0</v>
      </c>
      <c r="F178" s="171">
        <v>0</v>
      </c>
      <c r="G178" s="163"/>
      <c r="H178" s="171">
        <v>60498.616666666669</v>
      </c>
      <c r="I178" s="171">
        <v>871.78766666666502</v>
      </c>
      <c r="J178" s="171">
        <v>69131.166666666657</v>
      </c>
      <c r="K178" s="163"/>
      <c r="L178" s="171">
        <v>0</v>
      </c>
      <c r="M178" s="171">
        <v>0</v>
      </c>
      <c r="N178" s="171">
        <v>0</v>
      </c>
      <c r="O178" s="164">
        <v>0</v>
      </c>
      <c r="P178" s="164">
        <v>0</v>
      </c>
      <c r="Q178" s="172">
        <f t="shared" si="26"/>
        <v>130501.571</v>
      </c>
      <c r="S178" s="30">
        <f t="shared" si="31"/>
        <v>0</v>
      </c>
      <c r="T178" s="30">
        <f t="shared" si="31"/>
        <v>130501.571</v>
      </c>
      <c r="U178" s="30">
        <f t="shared" si="32"/>
        <v>0</v>
      </c>
      <c r="V178" s="30">
        <f t="shared" si="32"/>
        <v>0</v>
      </c>
      <c r="W178" s="30">
        <f t="shared" si="32"/>
        <v>0</v>
      </c>
      <c r="X178" s="30">
        <f t="shared" si="32"/>
        <v>0</v>
      </c>
      <c r="Y178" s="30">
        <f t="shared" si="32"/>
        <v>0</v>
      </c>
      <c r="Z178" s="30">
        <f t="shared" si="32"/>
        <v>0</v>
      </c>
      <c r="AA178" s="30">
        <f t="shared" si="32"/>
        <v>0</v>
      </c>
      <c r="AB178" s="39">
        <f t="shared" si="25"/>
        <v>0</v>
      </c>
    </row>
    <row r="179" spans="1:28">
      <c r="A179" s="168">
        <v>2187</v>
      </c>
      <c r="B179" s="2">
        <v>146268</v>
      </c>
      <c r="C179" s="2" t="s">
        <v>378</v>
      </c>
      <c r="E179" s="171">
        <v>0</v>
      </c>
      <c r="F179" s="171">
        <v>0</v>
      </c>
      <c r="G179" s="163"/>
      <c r="H179" s="171">
        <v>61496.580000000009</v>
      </c>
      <c r="I179" s="171">
        <v>1027.649999999998</v>
      </c>
      <c r="J179" s="171">
        <v>70737.343333333323</v>
      </c>
      <c r="K179" s="163"/>
      <c r="L179" s="171">
        <v>0</v>
      </c>
      <c r="M179" s="171">
        <v>0</v>
      </c>
      <c r="N179" s="171">
        <v>0</v>
      </c>
      <c r="O179" s="164">
        <v>0</v>
      </c>
      <c r="P179" s="164">
        <v>0</v>
      </c>
      <c r="Q179" s="172">
        <f t="shared" si="26"/>
        <v>133261.57333333333</v>
      </c>
      <c r="S179" s="30">
        <f t="shared" si="31"/>
        <v>0</v>
      </c>
      <c r="T179" s="30">
        <f t="shared" si="31"/>
        <v>133261.57333333333</v>
      </c>
      <c r="U179" s="30">
        <f t="shared" si="32"/>
        <v>0</v>
      </c>
      <c r="V179" s="30">
        <f t="shared" si="32"/>
        <v>0</v>
      </c>
      <c r="W179" s="30">
        <f t="shared" si="32"/>
        <v>0</v>
      </c>
      <c r="X179" s="30">
        <f t="shared" si="32"/>
        <v>0</v>
      </c>
      <c r="Y179" s="30">
        <f t="shared" si="32"/>
        <v>0</v>
      </c>
      <c r="Z179" s="30">
        <f t="shared" si="32"/>
        <v>0</v>
      </c>
      <c r="AA179" s="30">
        <f t="shared" si="32"/>
        <v>0</v>
      </c>
      <c r="AB179" s="39">
        <f t="shared" si="25"/>
        <v>0</v>
      </c>
    </row>
    <row r="180" spans="1:28">
      <c r="A180" s="168">
        <v>3362</v>
      </c>
      <c r="B180" s="2">
        <v>146298</v>
      </c>
      <c r="C180" s="2" t="s">
        <v>379</v>
      </c>
      <c r="E180" s="171">
        <v>0</v>
      </c>
      <c r="F180" s="171">
        <v>0</v>
      </c>
      <c r="G180" s="163"/>
      <c r="H180" s="171">
        <v>35930.806666666671</v>
      </c>
      <c r="I180" s="171">
        <v>608.17333333333272</v>
      </c>
      <c r="J180" s="171">
        <v>34053.67</v>
      </c>
      <c r="K180" s="163"/>
      <c r="L180" s="171">
        <v>0</v>
      </c>
      <c r="M180" s="171">
        <v>0</v>
      </c>
      <c r="N180" s="171">
        <v>0</v>
      </c>
      <c r="O180" s="164">
        <v>0</v>
      </c>
      <c r="P180" s="164">
        <v>0</v>
      </c>
      <c r="Q180" s="172">
        <f t="shared" si="26"/>
        <v>70592.649999999994</v>
      </c>
      <c r="S180" s="30">
        <f t="shared" si="31"/>
        <v>0</v>
      </c>
      <c r="T180" s="30">
        <f t="shared" si="31"/>
        <v>70592.649999999994</v>
      </c>
      <c r="U180" s="30">
        <f t="shared" ref="U180:AA189" si="33">SUMIF($E$3:$O$3,U$6,$E180:$O180)</f>
        <v>0</v>
      </c>
      <c r="V180" s="30">
        <f t="shared" si="33"/>
        <v>0</v>
      </c>
      <c r="W180" s="30">
        <f t="shared" si="33"/>
        <v>0</v>
      </c>
      <c r="X180" s="30">
        <f t="shared" si="33"/>
        <v>0</v>
      </c>
      <c r="Y180" s="30">
        <f t="shared" si="33"/>
        <v>0</v>
      </c>
      <c r="Z180" s="30">
        <f t="shared" si="33"/>
        <v>0</v>
      </c>
      <c r="AA180" s="30">
        <f t="shared" si="33"/>
        <v>0</v>
      </c>
      <c r="AB180" s="39">
        <f t="shared" si="25"/>
        <v>0</v>
      </c>
    </row>
    <row r="181" spans="1:28">
      <c r="A181" s="168">
        <v>3330</v>
      </c>
      <c r="B181" s="2">
        <v>141815</v>
      </c>
      <c r="C181" s="2" t="s">
        <v>380</v>
      </c>
      <c r="E181" s="171">
        <v>0</v>
      </c>
      <c r="F181" s="171">
        <v>0</v>
      </c>
      <c r="G181" s="163"/>
      <c r="H181" s="171">
        <v>45400.231666666667</v>
      </c>
      <c r="I181" s="171">
        <v>583.23499999999922</v>
      </c>
      <c r="J181" s="171">
        <v>43787.673333333332</v>
      </c>
      <c r="K181" s="163"/>
      <c r="L181" s="171">
        <v>0</v>
      </c>
      <c r="M181" s="171">
        <v>0</v>
      </c>
      <c r="N181" s="171">
        <v>0</v>
      </c>
      <c r="O181" s="164">
        <v>0</v>
      </c>
      <c r="P181" s="164">
        <v>0</v>
      </c>
      <c r="Q181" s="172">
        <f t="shared" si="26"/>
        <v>89771.14</v>
      </c>
      <c r="S181" s="30">
        <f t="shared" si="31"/>
        <v>0</v>
      </c>
      <c r="T181" s="30">
        <f t="shared" si="31"/>
        <v>89771.14</v>
      </c>
      <c r="U181" s="30">
        <f t="shared" si="33"/>
        <v>0</v>
      </c>
      <c r="V181" s="30">
        <f t="shared" si="33"/>
        <v>0</v>
      </c>
      <c r="W181" s="30">
        <f t="shared" si="33"/>
        <v>0</v>
      </c>
      <c r="X181" s="30">
        <f t="shared" si="33"/>
        <v>0</v>
      </c>
      <c r="Y181" s="30">
        <f t="shared" si="33"/>
        <v>0</v>
      </c>
      <c r="Z181" s="30">
        <f t="shared" si="33"/>
        <v>0</v>
      </c>
      <c r="AA181" s="30">
        <f t="shared" si="33"/>
        <v>0</v>
      </c>
      <c r="AB181" s="39">
        <f t="shared" si="25"/>
        <v>0</v>
      </c>
    </row>
    <row r="182" spans="1:28">
      <c r="A182" s="168">
        <v>3337</v>
      </c>
      <c r="B182" s="2">
        <v>148440</v>
      </c>
      <c r="C182" s="2" t="s">
        <v>381</v>
      </c>
      <c r="E182" s="171">
        <v>0</v>
      </c>
      <c r="F182" s="171">
        <v>0</v>
      </c>
      <c r="G182" s="163"/>
      <c r="H182" s="171">
        <v>55609.183333333342</v>
      </c>
      <c r="I182" s="171">
        <v>930.81333333333168</v>
      </c>
      <c r="J182" s="171">
        <v>58054.333333333336</v>
      </c>
      <c r="K182" s="163"/>
      <c r="L182" s="171">
        <v>0</v>
      </c>
      <c r="M182" s="171">
        <v>0</v>
      </c>
      <c r="N182" s="171">
        <v>0</v>
      </c>
      <c r="O182" s="164">
        <v>0</v>
      </c>
      <c r="P182" s="164">
        <v>0</v>
      </c>
      <c r="Q182" s="172">
        <f t="shared" si="26"/>
        <v>114594.33000000002</v>
      </c>
      <c r="S182" s="30">
        <f t="shared" si="31"/>
        <v>0</v>
      </c>
      <c r="T182" s="30">
        <f t="shared" si="31"/>
        <v>114594.33000000002</v>
      </c>
      <c r="U182" s="30">
        <f t="shared" si="33"/>
        <v>0</v>
      </c>
      <c r="V182" s="30">
        <f t="shared" si="33"/>
        <v>0</v>
      </c>
      <c r="W182" s="30">
        <f t="shared" si="33"/>
        <v>0</v>
      </c>
      <c r="X182" s="30">
        <f t="shared" si="33"/>
        <v>0</v>
      </c>
      <c r="Y182" s="30">
        <f t="shared" si="33"/>
        <v>0</v>
      </c>
      <c r="Z182" s="30">
        <f t="shared" si="33"/>
        <v>0</v>
      </c>
      <c r="AA182" s="30">
        <f t="shared" si="33"/>
        <v>0</v>
      </c>
      <c r="AB182" s="39">
        <f t="shared" si="25"/>
        <v>0</v>
      </c>
    </row>
    <row r="183" spans="1:28">
      <c r="A183" s="168">
        <v>2059</v>
      </c>
      <c r="B183" s="2">
        <v>138432</v>
      </c>
      <c r="C183" s="2" t="s">
        <v>382</v>
      </c>
      <c r="E183" s="171">
        <v>0</v>
      </c>
      <c r="F183" s="171">
        <v>0</v>
      </c>
      <c r="G183" s="163"/>
      <c r="H183" s="171">
        <v>28173.493333333336</v>
      </c>
      <c r="I183" s="171">
        <v>501.43999999999915</v>
      </c>
      <c r="J183" s="171">
        <v>24995.666666666668</v>
      </c>
      <c r="K183" s="163"/>
      <c r="L183" s="171">
        <v>0</v>
      </c>
      <c r="M183" s="171">
        <v>0</v>
      </c>
      <c r="N183" s="171">
        <v>0</v>
      </c>
      <c r="O183" s="164">
        <v>0</v>
      </c>
      <c r="P183" s="164">
        <v>0</v>
      </c>
      <c r="Q183" s="172">
        <f t="shared" si="26"/>
        <v>53670.600000000006</v>
      </c>
      <c r="S183" s="30">
        <f t="shared" si="31"/>
        <v>0</v>
      </c>
      <c r="T183" s="30">
        <f t="shared" si="31"/>
        <v>53670.600000000006</v>
      </c>
      <c r="U183" s="30">
        <f t="shared" si="33"/>
        <v>0</v>
      </c>
      <c r="V183" s="30">
        <f t="shared" si="33"/>
        <v>0</v>
      </c>
      <c r="W183" s="30">
        <f t="shared" si="33"/>
        <v>0</v>
      </c>
      <c r="X183" s="30">
        <f t="shared" si="33"/>
        <v>0</v>
      </c>
      <c r="Y183" s="30">
        <f t="shared" si="33"/>
        <v>0</v>
      </c>
      <c r="Z183" s="30">
        <f t="shared" si="33"/>
        <v>0</v>
      </c>
      <c r="AA183" s="30">
        <f t="shared" si="33"/>
        <v>0</v>
      </c>
      <c r="AB183" s="39">
        <f t="shared" si="25"/>
        <v>0</v>
      </c>
    </row>
    <row r="184" spans="1:28">
      <c r="A184" s="168">
        <v>2154</v>
      </c>
      <c r="B184" s="2">
        <v>141669</v>
      </c>
      <c r="C184" s="2" t="s">
        <v>383</v>
      </c>
      <c r="E184" s="171">
        <v>0</v>
      </c>
      <c r="F184" s="171">
        <v>0</v>
      </c>
      <c r="G184" s="163"/>
      <c r="H184" s="171">
        <v>17244.616666666665</v>
      </c>
      <c r="I184" s="171">
        <v>307.28766666666729</v>
      </c>
      <c r="J184" s="171">
        <v>15262.996666666668</v>
      </c>
      <c r="K184" s="163"/>
      <c r="L184" s="171">
        <v>0</v>
      </c>
      <c r="M184" s="171">
        <v>0</v>
      </c>
      <c r="N184" s="171">
        <v>0</v>
      </c>
      <c r="O184" s="164">
        <v>0</v>
      </c>
      <c r="P184" s="164">
        <v>0</v>
      </c>
      <c r="Q184" s="172">
        <f t="shared" si="26"/>
        <v>32814.900999999998</v>
      </c>
      <c r="S184" s="30">
        <f t="shared" si="31"/>
        <v>0</v>
      </c>
      <c r="T184" s="30">
        <f t="shared" si="31"/>
        <v>32814.900999999998</v>
      </c>
      <c r="U184" s="30">
        <f t="shared" si="33"/>
        <v>0</v>
      </c>
      <c r="V184" s="30">
        <f t="shared" si="33"/>
        <v>0</v>
      </c>
      <c r="W184" s="30">
        <f t="shared" si="33"/>
        <v>0</v>
      </c>
      <c r="X184" s="30">
        <f t="shared" si="33"/>
        <v>0</v>
      </c>
      <c r="Y184" s="30">
        <f t="shared" si="33"/>
        <v>0</v>
      </c>
      <c r="Z184" s="30">
        <f t="shared" si="33"/>
        <v>0</v>
      </c>
      <c r="AA184" s="30">
        <f t="shared" si="33"/>
        <v>0</v>
      </c>
      <c r="AB184" s="39">
        <f t="shared" si="25"/>
        <v>0</v>
      </c>
    </row>
    <row r="185" spans="1:28">
      <c r="A185" s="168">
        <v>4663</v>
      </c>
      <c r="B185" s="2">
        <v>147707</v>
      </c>
      <c r="C185" s="2" t="s">
        <v>384</v>
      </c>
      <c r="E185" s="171">
        <v>0</v>
      </c>
      <c r="F185" s="171">
        <v>0</v>
      </c>
      <c r="G185" s="163"/>
      <c r="H185" s="171">
        <v>43327.116666666669</v>
      </c>
      <c r="I185" s="171">
        <v>782.1466666666654</v>
      </c>
      <c r="J185" s="171">
        <v>60850.329999999994</v>
      </c>
      <c r="K185" s="163"/>
      <c r="L185" s="171">
        <v>62995.375</v>
      </c>
      <c r="M185" s="171">
        <v>0</v>
      </c>
      <c r="N185" s="171">
        <v>47399.537500000006</v>
      </c>
      <c r="O185" s="164">
        <v>0</v>
      </c>
      <c r="P185" s="164">
        <v>0</v>
      </c>
      <c r="Q185" s="172">
        <f t="shared" si="26"/>
        <v>215354.50583333333</v>
      </c>
      <c r="S185" s="30">
        <f t="shared" si="31"/>
        <v>110394.91250000001</v>
      </c>
      <c r="T185" s="30">
        <f t="shared" si="31"/>
        <v>104959.59333333332</v>
      </c>
      <c r="U185" s="30">
        <f t="shared" si="33"/>
        <v>0</v>
      </c>
      <c r="V185" s="30">
        <f t="shared" si="33"/>
        <v>0</v>
      </c>
      <c r="W185" s="30">
        <f t="shared" si="33"/>
        <v>0</v>
      </c>
      <c r="X185" s="30">
        <f t="shared" si="33"/>
        <v>0</v>
      </c>
      <c r="Y185" s="30">
        <f t="shared" si="33"/>
        <v>0</v>
      </c>
      <c r="Z185" s="30">
        <f t="shared" si="33"/>
        <v>0</v>
      </c>
      <c r="AA185" s="30">
        <f t="shared" si="33"/>
        <v>0</v>
      </c>
      <c r="AB185" s="39">
        <f t="shared" si="25"/>
        <v>0</v>
      </c>
    </row>
    <row r="186" spans="1:28">
      <c r="A186" s="168">
        <v>5205</v>
      </c>
      <c r="B186" s="2">
        <v>143434</v>
      </c>
      <c r="C186" s="2" t="s">
        <v>385</v>
      </c>
      <c r="E186" s="171">
        <v>0</v>
      </c>
      <c r="F186" s="171">
        <v>0</v>
      </c>
      <c r="G186" s="163"/>
      <c r="H186" s="171">
        <v>40279.953333333338</v>
      </c>
      <c r="I186" s="171">
        <v>805.37999999999852</v>
      </c>
      <c r="J186" s="171">
        <v>25363.5</v>
      </c>
      <c r="K186" s="163"/>
      <c r="L186" s="171">
        <v>0</v>
      </c>
      <c r="M186" s="171">
        <v>0</v>
      </c>
      <c r="N186" s="171">
        <v>0</v>
      </c>
      <c r="O186" s="164">
        <v>0</v>
      </c>
      <c r="P186" s="164">
        <v>0</v>
      </c>
      <c r="Q186" s="172">
        <f t="shared" si="26"/>
        <v>66448.833333333343</v>
      </c>
      <c r="S186" s="30">
        <f t="shared" si="31"/>
        <v>0</v>
      </c>
      <c r="T186" s="30">
        <f t="shared" si="31"/>
        <v>66448.833333333343</v>
      </c>
      <c r="U186" s="30">
        <f t="shared" si="33"/>
        <v>0</v>
      </c>
      <c r="V186" s="30">
        <f t="shared" si="33"/>
        <v>0</v>
      </c>
      <c r="W186" s="30">
        <f t="shared" si="33"/>
        <v>0</v>
      </c>
      <c r="X186" s="30">
        <f t="shared" si="33"/>
        <v>0</v>
      </c>
      <c r="Y186" s="30">
        <f t="shared" si="33"/>
        <v>0</v>
      </c>
      <c r="Z186" s="30">
        <f t="shared" si="33"/>
        <v>0</v>
      </c>
      <c r="AA186" s="30">
        <f t="shared" si="33"/>
        <v>0</v>
      </c>
      <c r="AB186" s="39">
        <f t="shared" si="25"/>
        <v>0</v>
      </c>
    </row>
    <row r="187" spans="1:28">
      <c r="A187" s="168">
        <v>2104</v>
      </c>
      <c r="B187" s="2">
        <v>139126</v>
      </c>
      <c r="C187" s="2" t="s">
        <v>386</v>
      </c>
      <c r="E187" s="171">
        <v>0</v>
      </c>
      <c r="F187" s="171">
        <v>0</v>
      </c>
      <c r="G187" s="163"/>
      <c r="H187" s="171">
        <v>24778.250000000004</v>
      </c>
      <c r="I187" s="171">
        <v>490.41666666666561</v>
      </c>
      <c r="J187" s="171">
        <v>31915.333333333332</v>
      </c>
      <c r="K187" s="163"/>
      <c r="L187" s="171">
        <v>0</v>
      </c>
      <c r="M187" s="171">
        <v>0</v>
      </c>
      <c r="N187" s="171">
        <v>0</v>
      </c>
      <c r="O187" s="164">
        <v>0</v>
      </c>
      <c r="P187" s="164">
        <v>0</v>
      </c>
      <c r="Q187" s="172">
        <f t="shared" si="26"/>
        <v>57184</v>
      </c>
      <c r="S187" s="30">
        <f t="shared" si="31"/>
        <v>0</v>
      </c>
      <c r="T187" s="30">
        <f t="shared" si="31"/>
        <v>57184</v>
      </c>
      <c r="U187" s="30">
        <f t="shared" si="33"/>
        <v>0</v>
      </c>
      <c r="V187" s="30">
        <f t="shared" si="33"/>
        <v>0</v>
      </c>
      <c r="W187" s="30">
        <f t="shared" si="33"/>
        <v>0</v>
      </c>
      <c r="X187" s="30">
        <f t="shared" si="33"/>
        <v>0</v>
      </c>
      <c r="Y187" s="30">
        <f t="shared" si="33"/>
        <v>0</v>
      </c>
      <c r="Z187" s="30">
        <f t="shared" si="33"/>
        <v>0</v>
      </c>
      <c r="AA187" s="30">
        <f t="shared" si="33"/>
        <v>0</v>
      </c>
      <c r="AB187" s="39">
        <f t="shared" si="25"/>
        <v>0</v>
      </c>
    </row>
    <row r="188" spans="1:28">
      <c r="A188" s="168">
        <v>2120</v>
      </c>
      <c r="B188" s="2">
        <v>139267</v>
      </c>
      <c r="C188" s="2" t="s">
        <v>387</v>
      </c>
      <c r="E188" s="171">
        <v>0</v>
      </c>
      <c r="F188" s="171">
        <v>0</v>
      </c>
      <c r="G188" s="163"/>
      <c r="H188" s="171">
        <v>40651.439999999995</v>
      </c>
      <c r="I188" s="171">
        <v>518.8799999999992</v>
      </c>
      <c r="J188" s="171">
        <v>28732.666666666668</v>
      </c>
      <c r="K188" s="163"/>
      <c r="L188" s="171">
        <v>0</v>
      </c>
      <c r="M188" s="171">
        <v>0</v>
      </c>
      <c r="N188" s="171">
        <v>0</v>
      </c>
      <c r="O188" s="164">
        <v>0</v>
      </c>
      <c r="P188" s="164">
        <v>0</v>
      </c>
      <c r="Q188" s="172">
        <f t="shared" si="26"/>
        <v>69902.986666666664</v>
      </c>
      <c r="S188" s="30">
        <f t="shared" si="31"/>
        <v>0</v>
      </c>
      <c r="T188" s="30">
        <f t="shared" si="31"/>
        <v>69902.986666666664</v>
      </c>
      <c r="U188" s="30">
        <f t="shared" si="33"/>
        <v>0</v>
      </c>
      <c r="V188" s="30">
        <f t="shared" si="33"/>
        <v>0</v>
      </c>
      <c r="W188" s="30">
        <f t="shared" si="33"/>
        <v>0</v>
      </c>
      <c r="X188" s="30">
        <f t="shared" si="33"/>
        <v>0</v>
      </c>
      <c r="Y188" s="30">
        <f t="shared" si="33"/>
        <v>0</v>
      </c>
      <c r="Z188" s="30">
        <f t="shared" si="33"/>
        <v>0</v>
      </c>
      <c r="AA188" s="30">
        <f t="shared" si="33"/>
        <v>0</v>
      </c>
      <c r="AB188" s="39">
        <f t="shared" si="25"/>
        <v>0</v>
      </c>
    </row>
    <row r="189" spans="1:28">
      <c r="A189" s="168">
        <v>3358</v>
      </c>
      <c r="B189" s="2">
        <v>141820</v>
      </c>
      <c r="C189" s="2" t="s">
        <v>388</v>
      </c>
      <c r="E189" s="171">
        <v>0</v>
      </c>
      <c r="F189" s="171">
        <v>0</v>
      </c>
      <c r="G189" s="163"/>
      <c r="H189" s="171">
        <v>14645.525000000001</v>
      </c>
      <c r="I189" s="171">
        <v>246.87499999999932</v>
      </c>
      <c r="J189" s="171">
        <v>16897.336666666666</v>
      </c>
      <c r="K189" s="163"/>
      <c r="L189" s="171">
        <v>0</v>
      </c>
      <c r="M189" s="171">
        <v>0</v>
      </c>
      <c r="N189" s="171">
        <v>0</v>
      </c>
      <c r="O189" s="164">
        <v>0</v>
      </c>
      <c r="P189" s="164">
        <v>0</v>
      </c>
      <c r="Q189" s="172">
        <f t="shared" si="26"/>
        <v>31789.736666666668</v>
      </c>
      <c r="S189" s="30">
        <f t="shared" si="31"/>
        <v>0</v>
      </c>
      <c r="T189" s="30">
        <f t="shared" si="31"/>
        <v>31789.736666666668</v>
      </c>
      <c r="U189" s="30">
        <f t="shared" si="33"/>
        <v>0</v>
      </c>
      <c r="V189" s="30">
        <f t="shared" si="33"/>
        <v>0</v>
      </c>
      <c r="W189" s="30">
        <f t="shared" si="33"/>
        <v>0</v>
      </c>
      <c r="X189" s="30">
        <f t="shared" si="33"/>
        <v>0</v>
      </c>
      <c r="Y189" s="30">
        <f t="shared" si="33"/>
        <v>0</v>
      </c>
      <c r="Z189" s="30">
        <f t="shared" si="33"/>
        <v>0</v>
      </c>
      <c r="AA189" s="30">
        <f t="shared" si="33"/>
        <v>0</v>
      </c>
      <c r="AB189" s="39">
        <f t="shared" si="25"/>
        <v>0</v>
      </c>
    </row>
    <row r="190" spans="1:28">
      <c r="A190" s="168">
        <v>3360</v>
      </c>
      <c r="B190" s="2">
        <v>148266</v>
      </c>
      <c r="C190" s="2" t="s">
        <v>389</v>
      </c>
      <c r="E190" s="171">
        <v>0</v>
      </c>
      <c r="F190" s="171">
        <v>0</v>
      </c>
      <c r="G190" s="163"/>
      <c r="H190" s="171">
        <v>22305.266666666666</v>
      </c>
      <c r="I190" s="171">
        <v>385.64999999999918</v>
      </c>
      <c r="J190" s="171">
        <v>16436.33666666667</v>
      </c>
      <c r="K190" s="163"/>
      <c r="L190" s="171">
        <v>0</v>
      </c>
      <c r="M190" s="171">
        <v>0</v>
      </c>
      <c r="N190" s="171">
        <v>0</v>
      </c>
      <c r="O190" s="164">
        <v>0</v>
      </c>
      <c r="P190" s="164">
        <v>0</v>
      </c>
      <c r="Q190" s="172">
        <f t="shared" si="26"/>
        <v>39127.253333333334</v>
      </c>
      <c r="S190" s="30">
        <f t="shared" ref="S190:T201" si="34">SUMIF($E$3:$P$3,S$6,$E190:$P190)</f>
        <v>0</v>
      </c>
      <c r="T190" s="30">
        <f t="shared" si="34"/>
        <v>39127.253333333334</v>
      </c>
      <c r="U190" s="30">
        <f t="shared" ref="U190:AA201" si="35">SUMIF($E$3:$O$3,U$6,$E190:$O190)</f>
        <v>0</v>
      </c>
      <c r="V190" s="30">
        <f t="shared" si="35"/>
        <v>0</v>
      </c>
      <c r="W190" s="30">
        <f t="shared" si="35"/>
        <v>0</v>
      </c>
      <c r="X190" s="30">
        <f t="shared" si="35"/>
        <v>0</v>
      </c>
      <c r="Y190" s="30">
        <f t="shared" si="35"/>
        <v>0</v>
      </c>
      <c r="Z190" s="30">
        <f t="shared" si="35"/>
        <v>0</v>
      </c>
      <c r="AA190" s="30">
        <f t="shared" si="35"/>
        <v>0</v>
      </c>
      <c r="AB190" s="39">
        <f t="shared" si="25"/>
        <v>0</v>
      </c>
    </row>
    <row r="191" spans="1:28">
      <c r="A191" s="168">
        <v>2071</v>
      </c>
      <c r="B191" s="2">
        <v>138883</v>
      </c>
      <c r="C191" s="2" t="s">
        <v>390</v>
      </c>
      <c r="E191" s="171">
        <v>0</v>
      </c>
      <c r="F191" s="171">
        <v>0</v>
      </c>
      <c r="G191" s="163"/>
      <c r="H191" s="171">
        <v>99645.903333333335</v>
      </c>
      <c r="I191" s="171">
        <v>1441.8099999999979</v>
      </c>
      <c r="J191" s="171">
        <v>90918.669999999984</v>
      </c>
      <c r="K191" s="163"/>
      <c r="L191" s="171">
        <v>0</v>
      </c>
      <c r="M191" s="171">
        <v>0</v>
      </c>
      <c r="N191" s="171">
        <v>0</v>
      </c>
      <c r="O191" s="164">
        <v>0</v>
      </c>
      <c r="P191" s="164">
        <v>0</v>
      </c>
      <c r="Q191" s="172">
        <f t="shared" si="26"/>
        <v>192006.3833333333</v>
      </c>
      <c r="S191" s="30">
        <f t="shared" si="34"/>
        <v>0</v>
      </c>
      <c r="T191" s="30">
        <f t="shared" si="34"/>
        <v>192006.3833333333</v>
      </c>
      <c r="U191" s="30">
        <f t="shared" si="35"/>
        <v>0</v>
      </c>
      <c r="V191" s="30">
        <f t="shared" si="35"/>
        <v>0</v>
      </c>
      <c r="W191" s="30">
        <f t="shared" si="35"/>
        <v>0</v>
      </c>
      <c r="X191" s="30">
        <f t="shared" si="35"/>
        <v>0</v>
      </c>
      <c r="Y191" s="30">
        <f t="shared" si="35"/>
        <v>0</v>
      </c>
      <c r="Z191" s="30">
        <f t="shared" si="35"/>
        <v>0</v>
      </c>
      <c r="AA191" s="30">
        <f t="shared" si="35"/>
        <v>0</v>
      </c>
      <c r="AB191" s="39">
        <f t="shared" si="25"/>
        <v>0</v>
      </c>
    </row>
    <row r="192" spans="1:28">
      <c r="A192" s="168">
        <v>3306</v>
      </c>
      <c r="B192" s="2">
        <v>139173</v>
      </c>
      <c r="C192" s="2" t="s">
        <v>391</v>
      </c>
      <c r="E192" s="171">
        <v>0</v>
      </c>
      <c r="F192" s="171">
        <v>0</v>
      </c>
      <c r="G192" s="163"/>
      <c r="H192" s="171">
        <v>167520.84333333341</v>
      </c>
      <c r="I192" s="171">
        <v>2622.3233333333287</v>
      </c>
      <c r="J192" s="171">
        <v>125793.33333333333</v>
      </c>
      <c r="K192" s="163"/>
      <c r="L192" s="171">
        <v>0</v>
      </c>
      <c r="M192" s="171">
        <v>0</v>
      </c>
      <c r="N192" s="171">
        <v>0</v>
      </c>
      <c r="O192" s="164">
        <v>0</v>
      </c>
      <c r="P192" s="164">
        <v>0</v>
      </c>
      <c r="Q192" s="172">
        <f t="shared" si="26"/>
        <v>295936.50000000006</v>
      </c>
      <c r="S192" s="30">
        <f t="shared" si="34"/>
        <v>0</v>
      </c>
      <c r="T192" s="30">
        <f t="shared" si="34"/>
        <v>295936.50000000006</v>
      </c>
      <c r="U192" s="30">
        <f t="shared" si="35"/>
        <v>0</v>
      </c>
      <c r="V192" s="30">
        <f t="shared" si="35"/>
        <v>0</v>
      </c>
      <c r="W192" s="30">
        <f t="shared" si="35"/>
        <v>0</v>
      </c>
      <c r="X192" s="30">
        <f t="shared" si="35"/>
        <v>0</v>
      </c>
      <c r="Y192" s="30">
        <f t="shared" si="35"/>
        <v>0</v>
      </c>
      <c r="Z192" s="30">
        <f t="shared" si="35"/>
        <v>0</v>
      </c>
      <c r="AA192" s="30">
        <f t="shared" si="35"/>
        <v>0</v>
      </c>
      <c r="AB192" s="39">
        <f t="shared" si="25"/>
        <v>0</v>
      </c>
    </row>
    <row r="193" spans="1:28">
      <c r="A193" s="168">
        <v>2158</v>
      </c>
      <c r="B193" s="2">
        <v>141670</v>
      </c>
      <c r="C193" s="2" t="s">
        <v>392</v>
      </c>
      <c r="E193" s="171">
        <v>0</v>
      </c>
      <c r="F193" s="171">
        <v>0</v>
      </c>
      <c r="G193" s="163"/>
      <c r="H193" s="171">
        <v>5428.5</v>
      </c>
      <c r="I193" s="171">
        <v>108.83333333333303</v>
      </c>
      <c r="J193" s="171">
        <v>5537.3366666666661</v>
      </c>
      <c r="K193" s="163"/>
      <c r="L193" s="171">
        <v>0</v>
      </c>
      <c r="M193" s="171">
        <v>0</v>
      </c>
      <c r="N193" s="171">
        <v>0</v>
      </c>
      <c r="O193" s="164">
        <v>0</v>
      </c>
      <c r="P193" s="164">
        <v>0</v>
      </c>
      <c r="Q193" s="172">
        <f t="shared" si="26"/>
        <v>11074.669999999998</v>
      </c>
      <c r="S193" s="30">
        <f t="shared" si="34"/>
        <v>0</v>
      </c>
      <c r="T193" s="30">
        <f t="shared" si="34"/>
        <v>11074.669999999998</v>
      </c>
      <c r="U193" s="30">
        <f t="shared" si="35"/>
        <v>0</v>
      </c>
      <c r="V193" s="30">
        <f t="shared" si="35"/>
        <v>0</v>
      </c>
      <c r="W193" s="30">
        <f t="shared" si="35"/>
        <v>0</v>
      </c>
      <c r="X193" s="30">
        <f t="shared" si="35"/>
        <v>0</v>
      </c>
      <c r="Y193" s="30">
        <f t="shared" si="35"/>
        <v>0</v>
      </c>
      <c r="Z193" s="30">
        <f t="shared" si="35"/>
        <v>0</v>
      </c>
      <c r="AA193" s="30">
        <f t="shared" si="35"/>
        <v>0</v>
      </c>
      <c r="AB193" s="39">
        <f t="shared" si="25"/>
        <v>0</v>
      </c>
    </row>
    <row r="194" spans="1:28">
      <c r="A194" s="168">
        <v>3339</v>
      </c>
      <c r="B194" s="2">
        <v>148441</v>
      </c>
      <c r="C194" s="2" t="s">
        <v>393</v>
      </c>
      <c r="E194" s="171">
        <v>0</v>
      </c>
      <c r="F194" s="171">
        <v>0</v>
      </c>
      <c r="G194" s="163"/>
      <c r="H194" s="171">
        <v>13238.4</v>
      </c>
      <c r="I194" s="171">
        <v>87.199999999999818</v>
      </c>
      <c r="J194" s="171">
        <v>4500</v>
      </c>
      <c r="K194" s="163"/>
      <c r="L194" s="171">
        <v>0</v>
      </c>
      <c r="M194" s="171">
        <v>0</v>
      </c>
      <c r="N194" s="171">
        <v>0</v>
      </c>
      <c r="O194" s="164">
        <v>0</v>
      </c>
      <c r="P194" s="164">
        <v>0</v>
      </c>
      <c r="Q194" s="172">
        <f t="shared" si="26"/>
        <v>17825.599999999999</v>
      </c>
      <c r="S194" s="30">
        <f t="shared" si="34"/>
        <v>0</v>
      </c>
      <c r="T194" s="30">
        <f t="shared" si="34"/>
        <v>17825.599999999999</v>
      </c>
      <c r="U194" s="30">
        <f t="shared" si="35"/>
        <v>0</v>
      </c>
      <c r="V194" s="30">
        <f t="shared" si="35"/>
        <v>0</v>
      </c>
      <c r="W194" s="30">
        <f t="shared" si="35"/>
        <v>0</v>
      </c>
      <c r="X194" s="30">
        <f t="shared" si="35"/>
        <v>0</v>
      </c>
      <c r="Y194" s="30">
        <f t="shared" si="35"/>
        <v>0</v>
      </c>
      <c r="Z194" s="30">
        <f t="shared" si="35"/>
        <v>0</v>
      </c>
      <c r="AA194" s="30">
        <f t="shared" si="35"/>
        <v>0</v>
      </c>
      <c r="AB194" s="39">
        <f t="shared" si="25"/>
        <v>0</v>
      </c>
    </row>
    <row r="195" spans="1:28">
      <c r="A195" s="168">
        <v>3401</v>
      </c>
      <c r="B195" s="2">
        <v>140528</v>
      </c>
      <c r="C195" s="2" t="s">
        <v>394</v>
      </c>
      <c r="E195" s="171">
        <v>0</v>
      </c>
      <c r="F195" s="171">
        <v>0</v>
      </c>
      <c r="G195" s="163"/>
      <c r="H195" s="171">
        <v>25146.1</v>
      </c>
      <c r="I195" s="171">
        <v>370.43333333333248</v>
      </c>
      <c r="J195" s="171">
        <v>16233.666666666666</v>
      </c>
      <c r="K195" s="163"/>
      <c r="L195" s="171">
        <v>0</v>
      </c>
      <c r="M195" s="171">
        <v>0</v>
      </c>
      <c r="N195" s="171">
        <v>0</v>
      </c>
      <c r="O195" s="164">
        <v>0</v>
      </c>
      <c r="P195" s="164">
        <v>0</v>
      </c>
      <c r="Q195" s="172">
        <f t="shared" si="26"/>
        <v>41750.199999999997</v>
      </c>
      <c r="S195" s="30">
        <f t="shared" si="34"/>
        <v>0</v>
      </c>
      <c r="T195" s="30">
        <f t="shared" si="34"/>
        <v>41750.199999999997</v>
      </c>
      <c r="U195" s="30">
        <f t="shared" si="35"/>
        <v>0</v>
      </c>
      <c r="V195" s="30">
        <f t="shared" si="35"/>
        <v>0</v>
      </c>
      <c r="W195" s="30">
        <f t="shared" si="35"/>
        <v>0</v>
      </c>
      <c r="X195" s="30">
        <f t="shared" si="35"/>
        <v>0</v>
      </c>
      <c r="Y195" s="30">
        <f t="shared" si="35"/>
        <v>0</v>
      </c>
      <c r="Z195" s="30">
        <f t="shared" si="35"/>
        <v>0</v>
      </c>
      <c r="AA195" s="30">
        <f t="shared" si="35"/>
        <v>0</v>
      </c>
      <c r="AB195" s="39">
        <f t="shared" si="25"/>
        <v>0</v>
      </c>
    </row>
    <row r="196" spans="1:28">
      <c r="A196" s="168">
        <v>3383</v>
      </c>
      <c r="B196" s="2">
        <v>148973</v>
      </c>
      <c r="C196" s="2" t="s">
        <v>395</v>
      </c>
      <c r="E196" s="171">
        <v>0</v>
      </c>
      <c r="F196" s="171">
        <v>0</v>
      </c>
      <c r="G196" s="163"/>
      <c r="H196" s="171">
        <v>14114.1</v>
      </c>
      <c r="I196" s="171">
        <v>283.23333333333267</v>
      </c>
      <c r="J196" s="171">
        <v>30409.336666666662</v>
      </c>
      <c r="K196" s="163"/>
      <c r="L196" s="171">
        <v>0</v>
      </c>
      <c r="M196" s="171">
        <v>0</v>
      </c>
      <c r="N196" s="171">
        <v>0</v>
      </c>
      <c r="O196" s="164">
        <v>0</v>
      </c>
      <c r="P196" s="164">
        <v>0</v>
      </c>
      <c r="Q196" s="172">
        <f t="shared" si="26"/>
        <v>44806.67</v>
      </c>
      <c r="S196" s="30">
        <f t="shared" si="34"/>
        <v>0</v>
      </c>
      <c r="T196" s="30">
        <f t="shared" si="34"/>
        <v>44806.67</v>
      </c>
      <c r="U196" s="30">
        <f t="shared" si="35"/>
        <v>0</v>
      </c>
      <c r="V196" s="30">
        <f t="shared" si="35"/>
        <v>0</v>
      </c>
      <c r="W196" s="30">
        <f t="shared" si="35"/>
        <v>0</v>
      </c>
      <c r="X196" s="30">
        <f t="shared" si="35"/>
        <v>0</v>
      </c>
      <c r="Y196" s="30">
        <f t="shared" si="35"/>
        <v>0</v>
      </c>
      <c r="Z196" s="30">
        <f t="shared" si="35"/>
        <v>0</v>
      </c>
      <c r="AA196" s="30">
        <f t="shared" si="35"/>
        <v>0</v>
      </c>
      <c r="AB196" s="39">
        <f t="shared" si="25"/>
        <v>0</v>
      </c>
    </row>
    <row r="197" spans="1:28">
      <c r="A197" s="168">
        <v>3015</v>
      </c>
      <c r="B197" s="2">
        <v>139041</v>
      </c>
      <c r="C197" s="2" t="s">
        <v>396</v>
      </c>
      <c r="E197" s="171">
        <v>0</v>
      </c>
      <c r="F197" s="171">
        <v>0</v>
      </c>
      <c r="G197" s="163"/>
      <c r="H197" s="171">
        <v>48788.87</v>
      </c>
      <c r="I197" s="171">
        <v>459.93333333333294</v>
      </c>
      <c r="J197" s="171">
        <v>28504.333333333332</v>
      </c>
      <c r="K197" s="163"/>
      <c r="L197" s="171">
        <v>0</v>
      </c>
      <c r="M197" s="171">
        <v>0</v>
      </c>
      <c r="N197" s="171">
        <v>0</v>
      </c>
      <c r="O197" s="164">
        <v>0</v>
      </c>
      <c r="P197" s="164">
        <v>0</v>
      </c>
      <c r="Q197" s="172">
        <f t="shared" si="26"/>
        <v>77753.136666666673</v>
      </c>
      <c r="S197" s="30">
        <f t="shared" si="34"/>
        <v>0</v>
      </c>
      <c r="T197" s="30">
        <f t="shared" si="34"/>
        <v>77753.136666666673</v>
      </c>
      <c r="U197" s="30">
        <f t="shared" si="35"/>
        <v>0</v>
      </c>
      <c r="V197" s="30">
        <f t="shared" si="35"/>
        <v>0</v>
      </c>
      <c r="W197" s="30">
        <f t="shared" si="35"/>
        <v>0</v>
      </c>
      <c r="X197" s="30">
        <f t="shared" si="35"/>
        <v>0</v>
      </c>
      <c r="Y197" s="30">
        <f t="shared" si="35"/>
        <v>0</v>
      </c>
      <c r="Z197" s="30">
        <f t="shared" si="35"/>
        <v>0</v>
      </c>
      <c r="AA197" s="30">
        <f t="shared" si="35"/>
        <v>0</v>
      </c>
      <c r="AB197" s="39">
        <f t="shared" si="25"/>
        <v>0</v>
      </c>
    </row>
    <row r="198" spans="1:28">
      <c r="A198" s="168">
        <v>3311</v>
      </c>
      <c r="B198" s="2">
        <v>139174</v>
      </c>
      <c r="C198" s="2" t="s">
        <v>397</v>
      </c>
      <c r="E198" s="171">
        <v>0</v>
      </c>
      <c r="F198" s="171">
        <v>0</v>
      </c>
      <c r="G198" s="163"/>
      <c r="H198" s="171">
        <v>52128.01</v>
      </c>
      <c r="I198" s="171">
        <v>850.08999999999833</v>
      </c>
      <c r="J198" s="171">
        <v>94935.666666666672</v>
      </c>
      <c r="K198" s="163"/>
      <c r="L198" s="171">
        <v>0</v>
      </c>
      <c r="M198" s="171">
        <v>0</v>
      </c>
      <c r="N198" s="171">
        <v>0</v>
      </c>
      <c r="O198" s="164">
        <v>0</v>
      </c>
      <c r="P198" s="164">
        <v>0</v>
      </c>
      <c r="Q198" s="172">
        <f t="shared" si="26"/>
        <v>147913.76666666666</v>
      </c>
      <c r="S198" s="30">
        <f t="shared" si="34"/>
        <v>0</v>
      </c>
      <c r="T198" s="30">
        <f t="shared" si="34"/>
        <v>147913.76666666666</v>
      </c>
      <c r="U198" s="30">
        <f t="shared" si="35"/>
        <v>0</v>
      </c>
      <c r="V198" s="30">
        <f t="shared" si="35"/>
        <v>0</v>
      </c>
      <c r="W198" s="30">
        <f t="shared" si="35"/>
        <v>0</v>
      </c>
      <c r="X198" s="30">
        <f t="shared" si="35"/>
        <v>0</v>
      </c>
      <c r="Y198" s="30">
        <f t="shared" si="35"/>
        <v>0</v>
      </c>
      <c r="Z198" s="30">
        <f t="shared" si="35"/>
        <v>0</v>
      </c>
      <c r="AA198" s="30">
        <f t="shared" si="35"/>
        <v>0</v>
      </c>
      <c r="AB198" s="39">
        <f t="shared" si="25"/>
        <v>0</v>
      </c>
    </row>
    <row r="199" spans="1:28">
      <c r="A199" s="168">
        <v>2061</v>
      </c>
      <c r="B199" s="2">
        <v>138433</v>
      </c>
      <c r="C199" s="2" t="s">
        <v>398</v>
      </c>
      <c r="E199" s="171">
        <v>0</v>
      </c>
      <c r="F199" s="171">
        <v>0</v>
      </c>
      <c r="G199" s="163"/>
      <c r="H199" s="171">
        <v>11888.420000000002</v>
      </c>
      <c r="I199" s="171">
        <v>193.9366666666665</v>
      </c>
      <c r="J199" s="171">
        <v>17387.669999999998</v>
      </c>
      <c r="K199" s="163"/>
      <c r="L199" s="171">
        <v>46915.3125</v>
      </c>
      <c r="M199" s="171">
        <v>33510.9375</v>
      </c>
      <c r="N199" s="171">
        <v>0</v>
      </c>
      <c r="O199" s="164">
        <v>0</v>
      </c>
      <c r="P199" s="164">
        <v>0</v>
      </c>
      <c r="Q199" s="172">
        <f t="shared" si="26"/>
        <v>109896.27666666667</v>
      </c>
      <c r="S199" s="30">
        <f t="shared" si="34"/>
        <v>80426.25</v>
      </c>
      <c r="T199" s="30">
        <f t="shared" si="34"/>
        <v>29470.026666666665</v>
      </c>
      <c r="U199" s="30">
        <f t="shared" si="35"/>
        <v>0</v>
      </c>
      <c r="V199" s="30">
        <f t="shared" si="35"/>
        <v>0</v>
      </c>
      <c r="W199" s="30">
        <f t="shared" si="35"/>
        <v>0</v>
      </c>
      <c r="X199" s="30">
        <f t="shared" si="35"/>
        <v>0</v>
      </c>
      <c r="Y199" s="30">
        <f t="shared" si="35"/>
        <v>0</v>
      </c>
      <c r="Z199" s="30">
        <f t="shared" si="35"/>
        <v>0</v>
      </c>
      <c r="AA199" s="30">
        <f t="shared" si="35"/>
        <v>0</v>
      </c>
      <c r="AB199" s="39">
        <f t="shared" si="25"/>
        <v>0</v>
      </c>
    </row>
    <row r="200" spans="1:28">
      <c r="A200" s="168">
        <v>3403</v>
      </c>
      <c r="B200" s="2">
        <v>140529</v>
      </c>
      <c r="C200" s="2" t="s">
        <v>399</v>
      </c>
      <c r="E200" s="171">
        <v>0</v>
      </c>
      <c r="F200" s="171">
        <v>0</v>
      </c>
      <c r="G200" s="163"/>
      <c r="H200" s="171">
        <v>20133.866666666669</v>
      </c>
      <c r="I200" s="171">
        <v>396.79666666666617</v>
      </c>
      <c r="J200" s="171">
        <v>15548.663333333332</v>
      </c>
      <c r="K200" s="163"/>
      <c r="L200" s="171">
        <v>0</v>
      </c>
      <c r="M200" s="171">
        <v>0</v>
      </c>
      <c r="N200" s="171">
        <v>0</v>
      </c>
      <c r="O200" s="164">
        <v>0</v>
      </c>
      <c r="P200" s="164">
        <v>0</v>
      </c>
      <c r="Q200" s="172">
        <f t="shared" si="26"/>
        <v>36079.326666666668</v>
      </c>
      <c r="S200" s="30">
        <f t="shared" si="34"/>
        <v>0</v>
      </c>
      <c r="T200" s="30">
        <f t="shared" si="34"/>
        <v>36079.326666666668</v>
      </c>
      <c r="U200" s="30">
        <f t="shared" si="35"/>
        <v>0</v>
      </c>
      <c r="V200" s="30">
        <f t="shared" si="35"/>
        <v>0</v>
      </c>
      <c r="W200" s="30">
        <f t="shared" si="35"/>
        <v>0</v>
      </c>
      <c r="X200" s="30">
        <f t="shared" si="35"/>
        <v>0</v>
      </c>
      <c r="Y200" s="30">
        <f t="shared" si="35"/>
        <v>0</v>
      </c>
      <c r="Z200" s="30">
        <f t="shared" si="35"/>
        <v>0</v>
      </c>
      <c r="AA200" s="30">
        <f t="shared" si="35"/>
        <v>0</v>
      </c>
      <c r="AB200" s="39">
        <f t="shared" ref="AB200:AB208" si="36">SUM(S200:AA200)-Q200</f>
        <v>0</v>
      </c>
    </row>
    <row r="201" spans="1:28">
      <c r="A201" s="168">
        <v>3366</v>
      </c>
      <c r="B201" s="2">
        <v>141830</v>
      </c>
      <c r="C201" s="2" t="s">
        <v>400</v>
      </c>
      <c r="E201" s="171">
        <v>0</v>
      </c>
      <c r="F201" s="171">
        <v>0</v>
      </c>
      <c r="G201" s="163"/>
      <c r="H201" s="171">
        <v>35783.050000000003</v>
      </c>
      <c r="I201" s="171">
        <v>451.21333333333268</v>
      </c>
      <c r="J201" s="171">
        <v>14264.333333333334</v>
      </c>
      <c r="K201" s="163"/>
      <c r="L201" s="171">
        <v>0</v>
      </c>
      <c r="M201" s="171">
        <v>0</v>
      </c>
      <c r="N201" s="171">
        <v>0</v>
      </c>
      <c r="O201" s="164">
        <v>0</v>
      </c>
      <c r="P201" s="164">
        <v>0</v>
      </c>
      <c r="Q201" s="172">
        <f t="shared" si="26"/>
        <v>50498.596666666672</v>
      </c>
      <c r="S201" s="30">
        <f t="shared" si="34"/>
        <v>0</v>
      </c>
      <c r="T201" s="30">
        <f t="shared" si="34"/>
        <v>50498.596666666672</v>
      </c>
      <c r="U201" s="30">
        <f t="shared" si="35"/>
        <v>0</v>
      </c>
      <c r="V201" s="30">
        <f t="shared" si="35"/>
        <v>0</v>
      </c>
      <c r="W201" s="30">
        <f t="shared" si="35"/>
        <v>0</v>
      </c>
      <c r="X201" s="30">
        <f t="shared" si="35"/>
        <v>0</v>
      </c>
      <c r="Y201" s="30">
        <f t="shared" si="35"/>
        <v>0</v>
      </c>
      <c r="Z201" s="30">
        <f t="shared" si="35"/>
        <v>0</v>
      </c>
      <c r="AA201" s="30">
        <f t="shared" si="35"/>
        <v>0</v>
      </c>
      <c r="AB201" s="39">
        <f t="shared" si="36"/>
        <v>0</v>
      </c>
    </row>
    <row r="202" spans="1:28">
      <c r="A202" s="168">
        <v>3385</v>
      </c>
      <c r="B202" s="2">
        <v>150849</v>
      </c>
      <c r="C202" s="2" t="s">
        <v>152</v>
      </c>
      <c r="E202" s="171">
        <v>0</v>
      </c>
      <c r="F202" s="171">
        <v>0</v>
      </c>
      <c r="G202" s="163"/>
      <c r="H202" s="171">
        <v>39213.33666666667</v>
      </c>
      <c r="I202" s="171">
        <v>470.74999999999955</v>
      </c>
      <c r="J202" s="171">
        <v>50254.343333333331</v>
      </c>
      <c r="K202" s="163"/>
      <c r="L202" s="171">
        <v>0</v>
      </c>
      <c r="M202" s="171">
        <v>0</v>
      </c>
      <c r="N202" s="171">
        <v>0</v>
      </c>
      <c r="O202" s="164">
        <v>0</v>
      </c>
      <c r="P202" s="164">
        <v>0</v>
      </c>
      <c r="Q202" s="172">
        <f t="shared" ref="Q202:Q208" si="37">SUM(E202:P202)</f>
        <v>89938.43</v>
      </c>
      <c r="S202" s="30">
        <f t="shared" ref="S202:T208" si="38">SUMIF($E$3:$P$3,S$6,$E202:$P202)</f>
        <v>0</v>
      </c>
      <c r="T202" s="30">
        <f t="shared" si="38"/>
        <v>89938.43</v>
      </c>
      <c r="U202" s="30">
        <f t="shared" ref="U202:AA208" si="39">SUMIF($E$3:$O$3,U$6,$E202:$O202)</f>
        <v>0</v>
      </c>
      <c r="V202" s="30">
        <f t="shared" si="39"/>
        <v>0</v>
      </c>
      <c r="W202" s="30">
        <f t="shared" si="39"/>
        <v>0</v>
      </c>
      <c r="X202" s="30">
        <f t="shared" si="39"/>
        <v>0</v>
      </c>
      <c r="Y202" s="30">
        <f t="shared" si="39"/>
        <v>0</v>
      </c>
      <c r="Z202" s="30">
        <f t="shared" si="39"/>
        <v>0</v>
      </c>
      <c r="AA202" s="30">
        <f t="shared" si="39"/>
        <v>0</v>
      </c>
      <c r="AB202" s="39">
        <f t="shared" si="36"/>
        <v>0</v>
      </c>
    </row>
    <row r="203" spans="1:28">
      <c r="A203" s="168">
        <v>4616</v>
      </c>
      <c r="B203" s="2">
        <v>141835</v>
      </c>
      <c r="C203" s="2" t="s">
        <v>401</v>
      </c>
      <c r="E203" s="171">
        <v>0</v>
      </c>
      <c r="F203" s="171">
        <v>0</v>
      </c>
      <c r="G203" s="163"/>
      <c r="H203" s="171">
        <v>24614.916666666664</v>
      </c>
      <c r="I203" s="171">
        <v>490.41666666666561</v>
      </c>
      <c r="J203" s="171">
        <v>54469.329999999994</v>
      </c>
      <c r="K203" s="163"/>
      <c r="L203" s="171">
        <v>16798.766666666666</v>
      </c>
      <c r="M203" s="171">
        <v>0</v>
      </c>
      <c r="N203" s="171">
        <v>0</v>
      </c>
      <c r="O203" s="164">
        <v>0</v>
      </c>
      <c r="P203" s="164">
        <v>0</v>
      </c>
      <c r="Q203" s="172">
        <f t="shared" si="37"/>
        <v>96373.43</v>
      </c>
      <c r="S203" s="30">
        <f t="shared" si="38"/>
        <v>16798.766666666666</v>
      </c>
      <c r="T203" s="30">
        <f t="shared" si="38"/>
        <v>79574.66333333333</v>
      </c>
      <c r="U203" s="30">
        <f t="shared" si="39"/>
        <v>0</v>
      </c>
      <c r="V203" s="30">
        <f t="shared" si="39"/>
        <v>0</v>
      </c>
      <c r="W203" s="30">
        <f t="shared" si="39"/>
        <v>0</v>
      </c>
      <c r="X203" s="30">
        <f t="shared" si="39"/>
        <v>0</v>
      </c>
      <c r="Y203" s="30">
        <f t="shared" si="39"/>
        <v>0</v>
      </c>
      <c r="Z203" s="30">
        <f t="shared" si="39"/>
        <v>0</v>
      </c>
      <c r="AA203" s="30">
        <f t="shared" si="39"/>
        <v>0</v>
      </c>
      <c r="AB203" s="39">
        <f t="shared" si="36"/>
        <v>0</v>
      </c>
    </row>
    <row r="204" spans="1:28">
      <c r="A204" s="168">
        <v>3314</v>
      </c>
      <c r="B204" s="2">
        <v>142375</v>
      </c>
      <c r="C204" s="2" t="s">
        <v>402</v>
      </c>
      <c r="E204" s="171">
        <v>0</v>
      </c>
      <c r="F204" s="171">
        <v>0</v>
      </c>
      <c r="G204" s="163"/>
      <c r="H204" s="171">
        <v>16357</v>
      </c>
      <c r="I204" s="171">
        <v>174.39999999999964</v>
      </c>
      <c r="J204" s="171">
        <v>14022.336666666666</v>
      </c>
      <c r="K204" s="163"/>
      <c r="L204" s="171">
        <v>0</v>
      </c>
      <c r="M204" s="171">
        <v>0</v>
      </c>
      <c r="N204" s="171">
        <v>0</v>
      </c>
      <c r="O204" s="164">
        <v>0</v>
      </c>
      <c r="P204" s="164">
        <v>0</v>
      </c>
      <c r="Q204" s="172">
        <f t="shared" si="37"/>
        <v>30553.736666666668</v>
      </c>
      <c r="S204" s="30">
        <f t="shared" si="38"/>
        <v>0</v>
      </c>
      <c r="T204" s="30">
        <f t="shared" si="38"/>
        <v>30553.736666666668</v>
      </c>
      <c r="U204" s="30">
        <f t="shared" si="39"/>
        <v>0</v>
      </c>
      <c r="V204" s="30">
        <f t="shared" si="39"/>
        <v>0</v>
      </c>
      <c r="W204" s="30">
        <f t="shared" si="39"/>
        <v>0</v>
      </c>
      <c r="X204" s="30">
        <f t="shared" si="39"/>
        <v>0</v>
      </c>
      <c r="Y204" s="30">
        <f t="shared" si="39"/>
        <v>0</v>
      </c>
      <c r="Z204" s="30">
        <f t="shared" si="39"/>
        <v>0</v>
      </c>
      <c r="AA204" s="30">
        <f t="shared" si="39"/>
        <v>0</v>
      </c>
      <c r="AB204" s="39">
        <f t="shared" si="36"/>
        <v>0</v>
      </c>
    </row>
    <row r="205" spans="1:28">
      <c r="A205" s="168">
        <v>2201</v>
      </c>
      <c r="B205" s="2">
        <v>147017</v>
      </c>
      <c r="C205" s="2" t="s">
        <v>403</v>
      </c>
      <c r="E205" s="171">
        <v>0</v>
      </c>
      <c r="F205" s="171">
        <v>0</v>
      </c>
      <c r="G205" s="163"/>
      <c r="H205" s="171">
        <v>15374.8</v>
      </c>
      <c r="I205" s="171">
        <v>308.86666666666588</v>
      </c>
      <c r="J205" s="171">
        <v>26315.666666666664</v>
      </c>
      <c r="K205" s="163"/>
      <c r="L205" s="171">
        <v>0</v>
      </c>
      <c r="M205" s="171">
        <v>0</v>
      </c>
      <c r="N205" s="171">
        <v>0</v>
      </c>
      <c r="O205" s="164">
        <v>0</v>
      </c>
      <c r="P205" s="164">
        <v>0</v>
      </c>
      <c r="Q205" s="172">
        <f t="shared" si="37"/>
        <v>41999.333333333328</v>
      </c>
      <c r="S205" s="30">
        <f t="shared" si="38"/>
        <v>0</v>
      </c>
      <c r="T205" s="30">
        <f t="shared" si="38"/>
        <v>41999.333333333328</v>
      </c>
      <c r="U205" s="30">
        <f t="shared" si="39"/>
        <v>0</v>
      </c>
      <c r="V205" s="30">
        <f t="shared" si="39"/>
        <v>0</v>
      </c>
      <c r="W205" s="30">
        <f t="shared" si="39"/>
        <v>0</v>
      </c>
      <c r="X205" s="30">
        <f t="shared" si="39"/>
        <v>0</v>
      </c>
      <c r="Y205" s="30">
        <f t="shared" si="39"/>
        <v>0</v>
      </c>
      <c r="Z205" s="30">
        <f t="shared" si="39"/>
        <v>0</v>
      </c>
      <c r="AA205" s="30">
        <f t="shared" si="39"/>
        <v>0</v>
      </c>
      <c r="AB205" s="39">
        <f t="shared" si="36"/>
        <v>0</v>
      </c>
    </row>
    <row r="206" spans="1:28">
      <c r="A206" s="168">
        <v>3359</v>
      </c>
      <c r="B206" s="2">
        <v>148083</v>
      </c>
      <c r="C206" s="2" t="s">
        <v>404</v>
      </c>
      <c r="E206" s="171">
        <v>0</v>
      </c>
      <c r="F206" s="171">
        <v>0</v>
      </c>
      <c r="G206" s="163"/>
      <c r="H206" s="171">
        <v>20924.079999999998</v>
      </c>
      <c r="I206" s="171">
        <v>369.3607999999997</v>
      </c>
      <c r="J206" s="171">
        <v>15172.67</v>
      </c>
      <c r="K206" s="163"/>
      <c r="L206" s="171">
        <v>0</v>
      </c>
      <c r="M206" s="171">
        <v>0</v>
      </c>
      <c r="N206" s="171">
        <v>0</v>
      </c>
      <c r="O206" s="164">
        <v>0</v>
      </c>
      <c r="P206" s="164">
        <v>0</v>
      </c>
      <c r="Q206" s="172">
        <f t="shared" si="37"/>
        <v>36466.110799999995</v>
      </c>
      <c r="S206" s="30">
        <f t="shared" si="38"/>
        <v>0</v>
      </c>
      <c r="T206" s="30">
        <f t="shared" si="38"/>
        <v>36466.110799999995</v>
      </c>
      <c r="U206" s="30">
        <f t="shared" si="39"/>
        <v>0</v>
      </c>
      <c r="V206" s="30">
        <f t="shared" si="39"/>
        <v>0</v>
      </c>
      <c r="W206" s="30">
        <f t="shared" si="39"/>
        <v>0</v>
      </c>
      <c r="X206" s="30">
        <f t="shared" si="39"/>
        <v>0</v>
      </c>
      <c r="Y206" s="30">
        <f t="shared" si="39"/>
        <v>0</v>
      </c>
      <c r="Z206" s="30">
        <f t="shared" si="39"/>
        <v>0</v>
      </c>
      <c r="AA206" s="30">
        <f t="shared" si="39"/>
        <v>0</v>
      </c>
      <c r="AB206" s="39">
        <f t="shared" si="36"/>
        <v>0</v>
      </c>
    </row>
    <row r="207" spans="1:28">
      <c r="A207" s="2">
        <v>4045</v>
      </c>
      <c r="B207" s="2">
        <v>149155</v>
      </c>
      <c r="C207" s="2" t="s">
        <v>405</v>
      </c>
      <c r="E207" s="171">
        <v>0</v>
      </c>
      <c r="F207" s="171">
        <v>0</v>
      </c>
      <c r="G207" s="163"/>
      <c r="H207" s="171">
        <v>29121.05</v>
      </c>
      <c r="I207" s="171">
        <v>381.24999999999909</v>
      </c>
      <c r="J207" s="171">
        <v>25450.006666666668</v>
      </c>
      <c r="K207" s="163"/>
      <c r="L207" s="171">
        <v>0</v>
      </c>
      <c r="M207" s="171">
        <v>0</v>
      </c>
      <c r="N207" s="171">
        <v>0</v>
      </c>
      <c r="O207" s="164">
        <v>0</v>
      </c>
      <c r="P207" s="164">
        <v>0</v>
      </c>
      <c r="Q207" s="172">
        <f t="shared" si="37"/>
        <v>54952.306666666671</v>
      </c>
      <c r="S207" s="30">
        <f t="shared" si="38"/>
        <v>0</v>
      </c>
      <c r="T207" s="30">
        <f t="shared" si="38"/>
        <v>54952.306666666671</v>
      </c>
      <c r="U207" s="30">
        <f t="shared" si="39"/>
        <v>0</v>
      </c>
      <c r="V207" s="30">
        <f t="shared" si="39"/>
        <v>0</v>
      </c>
      <c r="W207" s="30">
        <f t="shared" si="39"/>
        <v>0</v>
      </c>
      <c r="X207" s="30">
        <f t="shared" si="39"/>
        <v>0</v>
      </c>
      <c r="Y207" s="30">
        <f t="shared" si="39"/>
        <v>0</v>
      </c>
      <c r="Z207" s="30">
        <f t="shared" si="39"/>
        <v>0</v>
      </c>
      <c r="AA207" s="30">
        <f t="shared" si="39"/>
        <v>0</v>
      </c>
      <c r="AB207" s="39">
        <f t="shared" si="36"/>
        <v>0</v>
      </c>
    </row>
    <row r="208" spans="1:28">
      <c r="A208" s="2">
        <v>4038</v>
      </c>
      <c r="B208" s="2">
        <v>147757</v>
      </c>
      <c r="C208" s="2" t="s">
        <v>406</v>
      </c>
      <c r="E208" s="171">
        <v>0</v>
      </c>
      <c r="F208" s="171">
        <v>0</v>
      </c>
      <c r="G208" s="163"/>
      <c r="H208" s="171">
        <v>96454.233333333366</v>
      </c>
      <c r="I208" s="171">
        <v>1843.8133333333292</v>
      </c>
      <c r="J208" s="171">
        <v>119791.35</v>
      </c>
      <c r="K208" s="163"/>
      <c r="L208" s="171">
        <v>0</v>
      </c>
      <c r="M208" s="171">
        <v>0</v>
      </c>
      <c r="N208" s="171">
        <v>0</v>
      </c>
      <c r="O208" s="164">
        <v>0</v>
      </c>
      <c r="P208" s="164">
        <v>0</v>
      </c>
      <c r="Q208" s="172">
        <f t="shared" si="37"/>
        <v>218089.3966666667</v>
      </c>
      <c r="S208" s="30">
        <f t="shared" si="38"/>
        <v>0</v>
      </c>
      <c r="T208" s="30">
        <f t="shared" si="38"/>
        <v>218089.3966666667</v>
      </c>
      <c r="U208" s="30">
        <f t="shared" si="39"/>
        <v>0</v>
      </c>
      <c r="V208" s="30">
        <f t="shared" si="39"/>
        <v>0</v>
      </c>
      <c r="W208" s="30">
        <f t="shared" si="39"/>
        <v>0</v>
      </c>
      <c r="X208" s="30">
        <f t="shared" si="39"/>
        <v>0</v>
      </c>
      <c r="Y208" s="30">
        <f t="shared" si="39"/>
        <v>0</v>
      </c>
      <c r="Z208" s="30">
        <f t="shared" si="39"/>
        <v>0</v>
      </c>
      <c r="AA208" s="30">
        <f t="shared" si="39"/>
        <v>0</v>
      </c>
      <c r="AB208" s="39">
        <f t="shared" si="36"/>
        <v>0</v>
      </c>
    </row>
    <row r="209" spans="1:28">
      <c r="A209" s="2">
        <v>2188</v>
      </c>
      <c r="B209" s="2">
        <v>143433</v>
      </c>
      <c r="C209" s="2" t="s">
        <v>407</v>
      </c>
      <c r="E209" s="171">
        <v>0</v>
      </c>
      <c r="F209" s="171">
        <v>0</v>
      </c>
      <c r="G209" s="163"/>
      <c r="H209" s="171">
        <v>22893.033333333333</v>
      </c>
      <c r="I209" s="171">
        <v>459.6333333333323</v>
      </c>
      <c r="J209" s="171">
        <v>29134</v>
      </c>
      <c r="K209" s="163"/>
      <c r="L209" s="171">
        <v>0</v>
      </c>
      <c r="M209" s="171">
        <v>0</v>
      </c>
      <c r="N209" s="171">
        <v>0</v>
      </c>
      <c r="O209" s="164">
        <v>0</v>
      </c>
      <c r="P209" s="164">
        <v>0</v>
      </c>
      <c r="Q209" s="172">
        <f t="shared" ref="Q209:Q254" si="40">SUM(E209:P209)</f>
        <v>52486.666666666664</v>
      </c>
      <c r="S209" s="30"/>
      <c r="T209" s="30"/>
      <c r="U209" s="30"/>
      <c r="V209" s="30"/>
      <c r="W209" s="30"/>
      <c r="X209" s="30"/>
      <c r="Y209" s="30"/>
      <c r="Z209" s="30"/>
      <c r="AA209" s="30"/>
      <c r="AB209" s="39"/>
    </row>
    <row r="210" spans="1:28">
      <c r="A210" s="2">
        <v>4206</v>
      </c>
      <c r="B210" s="2">
        <v>138137</v>
      </c>
      <c r="C210" s="2" t="s">
        <v>408</v>
      </c>
      <c r="E210" s="171">
        <v>0</v>
      </c>
      <c r="F210" s="171">
        <v>0</v>
      </c>
      <c r="G210" s="163"/>
      <c r="H210" s="171">
        <v>23849.21</v>
      </c>
      <c r="I210" s="171">
        <v>463.01666666666569</v>
      </c>
      <c r="J210" s="171">
        <v>42959.833333333336</v>
      </c>
      <c r="K210" s="163"/>
      <c r="L210" s="171">
        <v>20998.458333333336</v>
      </c>
      <c r="M210" s="171">
        <v>0</v>
      </c>
      <c r="N210" s="171">
        <v>31599.691666666673</v>
      </c>
      <c r="O210" s="164">
        <v>0</v>
      </c>
      <c r="P210" s="164">
        <v>0</v>
      </c>
      <c r="Q210" s="172">
        <f t="shared" si="40"/>
        <v>119870.21000000002</v>
      </c>
    </row>
    <row r="211" spans="1:28">
      <c r="A211" s="2">
        <v>2097</v>
      </c>
      <c r="B211" s="2">
        <v>150876</v>
      </c>
      <c r="C211" s="2" t="s">
        <v>153</v>
      </c>
      <c r="E211" s="171">
        <v>0</v>
      </c>
      <c r="F211" s="171">
        <v>0</v>
      </c>
      <c r="G211" s="163"/>
      <c r="H211" s="171">
        <v>36111.833333333336</v>
      </c>
      <c r="I211" s="171">
        <v>697.38666666666518</v>
      </c>
      <c r="J211" s="171">
        <v>23688.33</v>
      </c>
      <c r="K211" s="163"/>
      <c r="L211" s="171">
        <v>0</v>
      </c>
      <c r="M211" s="171">
        <v>0</v>
      </c>
      <c r="N211" s="171">
        <v>0</v>
      </c>
      <c r="O211" s="164">
        <v>0</v>
      </c>
      <c r="P211" s="164">
        <v>0</v>
      </c>
      <c r="Q211" s="172">
        <f t="shared" si="40"/>
        <v>60497.55</v>
      </c>
      <c r="AB211" s="30"/>
    </row>
    <row r="212" spans="1:28">
      <c r="A212" s="2">
        <v>2214</v>
      </c>
      <c r="B212" s="2">
        <v>150708</v>
      </c>
      <c r="C212" s="2" t="s">
        <v>409</v>
      </c>
      <c r="E212" s="171">
        <v>0</v>
      </c>
      <c r="F212" s="171">
        <v>0</v>
      </c>
      <c r="G212" s="163"/>
      <c r="H212" s="171">
        <v>35605.066666666666</v>
      </c>
      <c r="I212" s="171">
        <v>444.79333333333307</v>
      </c>
      <c r="J212" s="171">
        <v>33327</v>
      </c>
      <c r="K212" s="163"/>
      <c r="L212" s="171">
        <v>0</v>
      </c>
      <c r="M212" s="171">
        <v>0</v>
      </c>
      <c r="N212" s="171">
        <v>0</v>
      </c>
      <c r="O212" s="164">
        <v>0</v>
      </c>
      <c r="P212" s="164">
        <v>0</v>
      </c>
      <c r="Q212" s="172">
        <f t="shared" si="40"/>
        <v>69376.86</v>
      </c>
      <c r="AB212" s="30"/>
    </row>
    <row r="213" spans="1:28">
      <c r="A213" s="2">
        <v>4300</v>
      </c>
      <c r="B213" s="2">
        <v>136778</v>
      </c>
      <c r="C213" s="2" t="s">
        <v>410</v>
      </c>
      <c r="E213" s="171">
        <v>0</v>
      </c>
      <c r="F213" s="171">
        <v>0</v>
      </c>
      <c r="G213" s="163"/>
      <c r="H213" s="171">
        <v>0</v>
      </c>
      <c r="I213" s="171">
        <v>0</v>
      </c>
      <c r="J213" s="171">
        <v>0</v>
      </c>
      <c r="K213" s="163"/>
      <c r="L213" s="171">
        <v>0</v>
      </c>
      <c r="M213" s="171">
        <v>0</v>
      </c>
      <c r="N213" s="171">
        <v>0</v>
      </c>
      <c r="O213" s="164">
        <v>0</v>
      </c>
      <c r="P213" s="164">
        <v>0</v>
      </c>
      <c r="Q213" s="172">
        <f t="shared" si="40"/>
        <v>0</v>
      </c>
      <c r="AB213" s="30"/>
    </row>
    <row r="214" spans="1:28">
      <c r="A214" s="2">
        <v>2204</v>
      </c>
      <c r="B214" s="2">
        <v>147111</v>
      </c>
      <c r="C214" s="2" t="s">
        <v>411</v>
      </c>
      <c r="E214" s="171">
        <v>0</v>
      </c>
      <c r="F214" s="171">
        <v>0</v>
      </c>
      <c r="G214" s="163"/>
      <c r="H214" s="171">
        <v>36244.366666666669</v>
      </c>
      <c r="I214" s="171">
        <v>680.03333333333194</v>
      </c>
      <c r="J214" s="171">
        <v>28730.333333333336</v>
      </c>
      <c r="K214" s="163"/>
      <c r="L214" s="171">
        <v>0</v>
      </c>
      <c r="M214" s="171">
        <v>0</v>
      </c>
      <c r="N214" s="171">
        <v>0</v>
      </c>
      <c r="O214" s="164">
        <v>0</v>
      </c>
      <c r="P214" s="164">
        <v>0</v>
      </c>
      <c r="Q214" s="172">
        <f t="shared" si="40"/>
        <v>65654.733333333337</v>
      </c>
      <c r="AB214" s="30"/>
    </row>
    <row r="215" spans="1:28">
      <c r="A215" s="2">
        <v>4237</v>
      </c>
      <c r="B215" s="2">
        <v>151403</v>
      </c>
      <c r="C215" s="2" t="s">
        <v>148</v>
      </c>
      <c r="E215" s="171">
        <v>0</v>
      </c>
      <c r="F215" s="171">
        <v>0</v>
      </c>
      <c r="G215" s="163"/>
      <c r="H215" s="171">
        <v>58473.046666666669</v>
      </c>
      <c r="I215" s="171">
        <v>1153.8466666666643</v>
      </c>
      <c r="J215" s="171">
        <v>52746.67</v>
      </c>
      <c r="K215" s="163"/>
      <c r="L215" s="171">
        <v>0</v>
      </c>
      <c r="M215" s="171">
        <v>0</v>
      </c>
      <c r="N215" s="171">
        <v>94799.075000000012</v>
      </c>
      <c r="O215" s="164">
        <v>0</v>
      </c>
      <c r="P215" s="164">
        <v>0</v>
      </c>
      <c r="Q215" s="172">
        <f t="shared" si="40"/>
        <v>207172.63833333334</v>
      </c>
      <c r="AB215" s="30"/>
    </row>
    <row r="216" spans="1:28">
      <c r="A216" s="2">
        <v>2098</v>
      </c>
      <c r="B216" s="2">
        <v>139011</v>
      </c>
      <c r="C216" s="2" t="s">
        <v>412</v>
      </c>
      <c r="E216" s="171">
        <v>0</v>
      </c>
      <c r="F216" s="171">
        <v>0</v>
      </c>
      <c r="G216" s="163"/>
      <c r="H216" s="171">
        <v>30737.816666666666</v>
      </c>
      <c r="I216" s="171">
        <v>577.61666666666542</v>
      </c>
      <c r="J216" s="171">
        <v>45542.026666666665</v>
      </c>
      <c r="K216" s="163"/>
      <c r="L216" s="171">
        <v>0</v>
      </c>
      <c r="M216" s="171">
        <v>0</v>
      </c>
      <c r="N216" s="171">
        <v>0</v>
      </c>
      <c r="O216" s="164">
        <v>0</v>
      </c>
      <c r="P216" s="164">
        <v>0</v>
      </c>
      <c r="Q216" s="172">
        <f t="shared" si="40"/>
        <v>76857.459999999992</v>
      </c>
      <c r="AB216" s="30"/>
    </row>
    <row r="217" spans="1:28">
      <c r="A217" s="2">
        <v>4307</v>
      </c>
      <c r="B217" s="2">
        <v>138136</v>
      </c>
      <c r="C217" s="2" t="s">
        <v>413</v>
      </c>
      <c r="E217" s="171">
        <v>0</v>
      </c>
      <c r="F217" s="171">
        <v>0</v>
      </c>
      <c r="G217" s="163"/>
      <c r="H217" s="171">
        <v>108051.28</v>
      </c>
      <c r="I217" s="171">
        <v>2134.9533333333297</v>
      </c>
      <c r="J217" s="171">
        <v>111625.66</v>
      </c>
      <c r="K217" s="163"/>
      <c r="L217" s="171">
        <v>20998.458333333336</v>
      </c>
      <c r="M217" s="171">
        <v>0</v>
      </c>
      <c r="N217" s="171">
        <v>31599.691666666673</v>
      </c>
      <c r="O217" s="164">
        <v>0</v>
      </c>
      <c r="P217" s="164">
        <v>0</v>
      </c>
      <c r="Q217" s="172">
        <f t="shared" si="40"/>
        <v>274410.04333333333</v>
      </c>
      <c r="AB217" s="30"/>
    </row>
    <row r="218" spans="1:28">
      <c r="A218" s="2">
        <v>7049</v>
      </c>
      <c r="B218" s="2">
        <v>144043</v>
      </c>
      <c r="C218" s="2" t="s">
        <v>414</v>
      </c>
      <c r="E218" s="171">
        <v>37800</v>
      </c>
      <c r="F218" s="171">
        <v>0</v>
      </c>
      <c r="G218" s="163"/>
      <c r="H218" s="171">
        <v>0</v>
      </c>
      <c r="I218" s="171">
        <v>0</v>
      </c>
      <c r="J218" s="171">
        <v>0</v>
      </c>
      <c r="K218" s="163"/>
      <c r="L218" s="171">
        <v>0</v>
      </c>
      <c r="M218" s="171">
        <v>0</v>
      </c>
      <c r="N218" s="171">
        <v>0</v>
      </c>
      <c r="O218" s="164">
        <v>0</v>
      </c>
      <c r="P218" s="164">
        <v>0</v>
      </c>
      <c r="Q218" s="172">
        <f t="shared" si="40"/>
        <v>37800</v>
      </c>
      <c r="AB218" s="30"/>
    </row>
    <row r="219" spans="1:28">
      <c r="A219" s="2">
        <v>5201</v>
      </c>
      <c r="B219" s="2">
        <v>137155</v>
      </c>
      <c r="C219" s="2" t="s">
        <v>415</v>
      </c>
      <c r="E219" s="171">
        <v>0</v>
      </c>
      <c r="F219" s="171">
        <v>0</v>
      </c>
      <c r="G219" s="163"/>
      <c r="H219" s="171">
        <v>2714.25</v>
      </c>
      <c r="I219" s="171">
        <v>54.416666666666515</v>
      </c>
      <c r="J219" s="171">
        <v>12911.003333333334</v>
      </c>
      <c r="K219" s="163"/>
      <c r="L219" s="171">
        <v>0</v>
      </c>
      <c r="M219" s="171">
        <v>0</v>
      </c>
      <c r="N219" s="171">
        <v>0</v>
      </c>
      <c r="O219" s="164">
        <v>0</v>
      </c>
      <c r="P219" s="164">
        <v>0</v>
      </c>
      <c r="Q219" s="172">
        <f t="shared" si="40"/>
        <v>15679.67</v>
      </c>
    </row>
    <row r="220" spans="1:28">
      <c r="A220" s="2">
        <v>1111</v>
      </c>
      <c r="B220" s="2">
        <v>142071</v>
      </c>
      <c r="C220" s="2" t="s">
        <v>416</v>
      </c>
      <c r="E220" s="171">
        <v>0</v>
      </c>
      <c r="F220" s="171">
        <v>0</v>
      </c>
      <c r="G220" s="163"/>
      <c r="H220" s="171">
        <v>0</v>
      </c>
      <c r="I220" s="171">
        <v>0</v>
      </c>
      <c r="J220" s="171">
        <v>0</v>
      </c>
      <c r="K220" s="163"/>
      <c r="L220" s="171">
        <v>0</v>
      </c>
      <c r="M220" s="171">
        <v>0</v>
      </c>
      <c r="N220" s="171">
        <v>0</v>
      </c>
      <c r="O220" s="164">
        <v>0</v>
      </c>
      <c r="P220" s="164">
        <v>0</v>
      </c>
      <c r="Q220" s="172">
        <f t="shared" si="40"/>
        <v>0</v>
      </c>
    </row>
    <row r="221" spans="1:28">
      <c r="A221" s="2">
        <v>2246</v>
      </c>
      <c r="B221" s="2">
        <v>151709</v>
      </c>
      <c r="C221" s="2" t="s">
        <v>22</v>
      </c>
      <c r="E221" s="171">
        <v>0</v>
      </c>
      <c r="F221" s="171">
        <v>0</v>
      </c>
      <c r="G221" s="163"/>
      <c r="H221" s="171">
        <v>100581.33666666666</v>
      </c>
      <c r="I221" s="171">
        <v>1680.7276666666644</v>
      </c>
      <c r="J221" s="171">
        <v>96505.663333333345</v>
      </c>
      <c r="K221" s="163"/>
      <c r="L221" s="171">
        <v>0</v>
      </c>
      <c r="M221" s="171">
        <v>0</v>
      </c>
      <c r="N221" s="171">
        <v>0</v>
      </c>
      <c r="O221" s="164">
        <v>0</v>
      </c>
      <c r="P221" s="164">
        <v>0</v>
      </c>
      <c r="Q221" s="172">
        <f t="shared" si="40"/>
        <v>198767.72766666667</v>
      </c>
    </row>
    <row r="222" spans="1:28">
      <c r="A222" s="2">
        <v>2064</v>
      </c>
      <c r="B222" s="2">
        <v>139183</v>
      </c>
      <c r="C222" s="2" t="s">
        <v>417</v>
      </c>
      <c r="E222" s="171">
        <v>0</v>
      </c>
      <c r="F222" s="171">
        <v>0</v>
      </c>
      <c r="G222" s="163"/>
      <c r="H222" s="171">
        <v>44829.440000000002</v>
      </c>
      <c r="I222" s="171">
        <v>701.34333333333143</v>
      </c>
      <c r="J222" s="171">
        <v>40866.506666666661</v>
      </c>
      <c r="K222" s="163"/>
      <c r="L222" s="171">
        <v>0</v>
      </c>
      <c r="M222" s="171">
        <v>0</v>
      </c>
      <c r="N222" s="171">
        <v>0</v>
      </c>
      <c r="O222" s="164">
        <v>0</v>
      </c>
      <c r="P222" s="164">
        <v>0</v>
      </c>
      <c r="Q222" s="172">
        <f t="shared" si="40"/>
        <v>86397.29</v>
      </c>
    </row>
    <row r="223" spans="1:28">
      <c r="A223" s="2">
        <v>2018</v>
      </c>
      <c r="B223" s="2">
        <v>149872</v>
      </c>
      <c r="C223" s="2" t="s">
        <v>418</v>
      </c>
      <c r="E223" s="171">
        <v>2840</v>
      </c>
      <c r="F223" s="171">
        <v>2840.1766666666667</v>
      </c>
      <c r="G223" s="163"/>
      <c r="H223" s="171">
        <v>44429.430000000008</v>
      </c>
      <c r="I223" s="171">
        <v>655.76333333333196</v>
      </c>
      <c r="J223" s="171">
        <v>33213.339999999997</v>
      </c>
      <c r="K223" s="163"/>
      <c r="L223" s="171">
        <v>0</v>
      </c>
      <c r="M223" s="171">
        <v>0</v>
      </c>
      <c r="N223" s="171">
        <v>0</v>
      </c>
      <c r="O223" s="164">
        <v>26585.34375</v>
      </c>
      <c r="P223" s="164">
        <v>18989.53125</v>
      </c>
      <c r="Q223" s="172">
        <f t="shared" si="40"/>
        <v>129553.58499999999</v>
      </c>
    </row>
    <row r="224" spans="1:28">
      <c r="A224" s="2">
        <v>2167</v>
      </c>
      <c r="B224" s="2">
        <v>142888</v>
      </c>
      <c r="C224" s="2" t="s">
        <v>419</v>
      </c>
      <c r="E224" s="171">
        <v>0</v>
      </c>
      <c r="F224" s="171">
        <v>0</v>
      </c>
      <c r="G224" s="163"/>
      <c r="H224" s="171">
        <v>39331.476666666662</v>
      </c>
      <c r="I224" s="171">
        <v>755.98333333333267</v>
      </c>
      <c r="J224" s="171">
        <v>45271.34</v>
      </c>
      <c r="K224" s="163"/>
      <c r="L224" s="171">
        <v>0</v>
      </c>
      <c r="M224" s="171">
        <v>0</v>
      </c>
      <c r="N224" s="171">
        <v>0</v>
      </c>
      <c r="O224" s="164">
        <v>0</v>
      </c>
      <c r="P224" s="164">
        <v>0</v>
      </c>
      <c r="Q224" s="172">
        <f t="shared" si="40"/>
        <v>85358.799999999988</v>
      </c>
    </row>
    <row r="225" spans="1:17">
      <c r="A225" s="2">
        <v>2205</v>
      </c>
      <c r="B225" s="2">
        <v>147452</v>
      </c>
      <c r="C225" s="2" t="s">
        <v>420</v>
      </c>
      <c r="E225" s="171">
        <v>0</v>
      </c>
      <c r="F225" s="171">
        <v>0</v>
      </c>
      <c r="G225" s="163"/>
      <c r="H225" s="171">
        <v>34935.5</v>
      </c>
      <c r="I225" s="171">
        <v>561.29333333333284</v>
      </c>
      <c r="J225" s="171">
        <v>40579.013333333329</v>
      </c>
      <c r="K225" s="163"/>
      <c r="L225" s="171">
        <v>0</v>
      </c>
      <c r="M225" s="171">
        <v>0</v>
      </c>
      <c r="N225" s="171">
        <v>0</v>
      </c>
      <c r="O225" s="164">
        <v>0</v>
      </c>
      <c r="P225" s="164">
        <v>0</v>
      </c>
      <c r="Q225" s="172">
        <f t="shared" si="40"/>
        <v>76075.806666666671</v>
      </c>
    </row>
    <row r="226" spans="1:17">
      <c r="A226" s="2">
        <v>2249</v>
      </c>
      <c r="B226" s="2">
        <v>139860</v>
      </c>
      <c r="C226" s="2" t="s">
        <v>421</v>
      </c>
      <c r="E226" s="171">
        <v>0</v>
      </c>
      <c r="F226" s="171">
        <v>0</v>
      </c>
      <c r="G226" s="163"/>
      <c r="H226" s="171">
        <v>25770.283333333329</v>
      </c>
      <c r="I226" s="171">
        <v>307.29100000000039</v>
      </c>
      <c r="J226" s="171">
        <v>12850.66</v>
      </c>
      <c r="K226" s="163"/>
      <c r="L226" s="171">
        <v>0</v>
      </c>
      <c r="M226" s="171">
        <v>0</v>
      </c>
      <c r="N226" s="171">
        <v>0</v>
      </c>
      <c r="O226" s="164">
        <v>0</v>
      </c>
      <c r="P226" s="164">
        <v>0</v>
      </c>
      <c r="Q226" s="172">
        <f t="shared" si="40"/>
        <v>38928.234333333327</v>
      </c>
    </row>
    <row r="227" spans="1:17">
      <c r="A227" s="2">
        <v>2447</v>
      </c>
      <c r="B227" s="2">
        <v>143087</v>
      </c>
      <c r="C227" s="2" t="s">
        <v>422</v>
      </c>
      <c r="E227" s="171">
        <v>0</v>
      </c>
      <c r="F227" s="171">
        <v>0</v>
      </c>
      <c r="G227" s="163"/>
      <c r="H227" s="171">
        <v>100189.9166666667</v>
      </c>
      <c r="I227" s="171">
        <v>1270.2266666666642</v>
      </c>
      <c r="J227" s="171">
        <v>41278.353333333318</v>
      </c>
      <c r="K227" s="163"/>
      <c r="L227" s="171">
        <v>0</v>
      </c>
      <c r="M227" s="171">
        <v>0</v>
      </c>
      <c r="N227" s="171">
        <v>0</v>
      </c>
      <c r="O227" s="164">
        <v>0</v>
      </c>
      <c r="P227" s="164">
        <v>0</v>
      </c>
      <c r="Q227" s="172">
        <f t="shared" si="40"/>
        <v>142738.4966666667</v>
      </c>
    </row>
    <row r="228" spans="1:17">
      <c r="A228" s="2">
        <v>3325</v>
      </c>
      <c r="B228" s="2">
        <v>148439</v>
      </c>
      <c r="C228" s="2" t="s">
        <v>423</v>
      </c>
      <c r="E228" s="171">
        <v>0</v>
      </c>
      <c r="F228" s="171">
        <v>0</v>
      </c>
      <c r="G228" s="163"/>
      <c r="H228" s="171">
        <v>63481.013333333336</v>
      </c>
      <c r="I228" s="171">
        <v>1228.4002666666652</v>
      </c>
      <c r="J228" s="171">
        <v>49012.070000000007</v>
      </c>
      <c r="K228" s="163"/>
      <c r="L228" s="171">
        <v>0</v>
      </c>
      <c r="M228" s="171">
        <v>0</v>
      </c>
      <c r="N228" s="171">
        <v>0</v>
      </c>
      <c r="O228" s="164">
        <v>0</v>
      </c>
      <c r="P228" s="164">
        <v>0</v>
      </c>
      <c r="Q228" s="172">
        <f t="shared" si="40"/>
        <v>113721.48360000001</v>
      </c>
    </row>
    <row r="229" spans="1:17">
      <c r="A229" s="2">
        <v>4027</v>
      </c>
      <c r="B229" s="2">
        <v>144721</v>
      </c>
      <c r="C229" s="2" t="s">
        <v>424</v>
      </c>
      <c r="E229" s="171">
        <v>0</v>
      </c>
      <c r="F229" s="171">
        <v>0</v>
      </c>
      <c r="G229" s="163"/>
      <c r="H229" s="171">
        <v>18844.433333333334</v>
      </c>
      <c r="I229" s="171">
        <v>265.27199999999993</v>
      </c>
      <c r="J229" s="171">
        <v>44097.326666666668</v>
      </c>
      <c r="K229" s="163"/>
      <c r="L229" s="171">
        <v>35697.379166666673</v>
      </c>
      <c r="M229" s="171">
        <v>0</v>
      </c>
      <c r="N229" s="171">
        <v>94799.075000000012</v>
      </c>
      <c r="O229" s="164">
        <v>0</v>
      </c>
      <c r="P229" s="164">
        <v>0</v>
      </c>
      <c r="Q229" s="172">
        <f t="shared" si="40"/>
        <v>193703.4861666667</v>
      </c>
    </row>
    <row r="230" spans="1:17">
      <c r="A230" s="2">
        <v>2058</v>
      </c>
      <c r="B230" s="2">
        <v>138425</v>
      </c>
      <c r="C230" s="2" t="s">
        <v>425</v>
      </c>
      <c r="E230" s="171">
        <v>0</v>
      </c>
      <c r="F230" s="171">
        <v>0</v>
      </c>
      <c r="G230" s="163"/>
      <c r="H230" s="171">
        <v>11651.3</v>
      </c>
      <c r="I230" s="171">
        <v>176.49666666666644</v>
      </c>
      <c r="J230" s="171">
        <v>11270.33</v>
      </c>
      <c r="K230" s="163"/>
      <c r="L230" s="171">
        <v>0</v>
      </c>
      <c r="M230" s="171">
        <v>0</v>
      </c>
      <c r="N230" s="171">
        <v>0</v>
      </c>
      <c r="O230" s="164">
        <v>0</v>
      </c>
      <c r="P230" s="164">
        <v>0</v>
      </c>
      <c r="Q230" s="172">
        <f t="shared" si="40"/>
        <v>23098.126666666663</v>
      </c>
    </row>
    <row r="231" spans="1:17">
      <c r="A231" s="2">
        <v>4014</v>
      </c>
      <c r="B231" s="2">
        <v>140863</v>
      </c>
      <c r="C231" s="2" t="s">
        <v>426</v>
      </c>
      <c r="E231" s="171">
        <v>0</v>
      </c>
      <c r="F231" s="171">
        <v>0</v>
      </c>
      <c r="G231" s="163"/>
      <c r="H231" s="171">
        <v>95855.246666666673</v>
      </c>
      <c r="I231" s="171">
        <v>1927.4199999999969</v>
      </c>
      <c r="J231" s="171">
        <v>134192.26666666666</v>
      </c>
      <c r="K231" s="163"/>
      <c r="L231" s="171">
        <v>48296.45416666667</v>
      </c>
      <c r="M231" s="171">
        <v>0</v>
      </c>
      <c r="N231" s="171">
        <v>0</v>
      </c>
      <c r="O231" s="164">
        <v>0</v>
      </c>
      <c r="P231" s="164">
        <v>0</v>
      </c>
      <c r="Q231" s="172">
        <f t="shared" si="40"/>
        <v>280271.38750000001</v>
      </c>
    </row>
    <row r="232" spans="1:17">
      <c r="A232" s="2">
        <v>4024</v>
      </c>
      <c r="B232" s="2">
        <v>144306</v>
      </c>
      <c r="C232" s="2" t="s">
        <v>427</v>
      </c>
      <c r="E232" s="171">
        <v>13800</v>
      </c>
      <c r="F232" s="171">
        <v>0</v>
      </c>
      <c r="G232" s="163"/>
      <c r="H232" s="171">
        <v>23040.966666666667</v>
      </c>
      <c r="I232" s="171">
        <v>463.69999999999891</v>
      </c>
      <c r="J232" s="171">
        <v>27638.666666666664</v>
      </c>
      <c r="K232" s="163"/>
      <c r="L232" s="171">
        <v>18898.612499999999</v>
      </c>
      <c r="M232" s="171">
        <v>0</v>
      </c>
      <c r="N232" s="171">
        <v>31599.691666666673</v>
      </c>
      <c r="O232" s="164">
        <v>0</v>
      </c>
      <c r="P232" s="164">
        <v>0</v>
      </c>
      <c r="Q232" s="172">
        <f t="shared" si="40"/>
        <v>115441.63750000001</v>
      </c>
    </row>
    <row r="233" spans="1:17">
      <c r="A233" s="2">
        <v>2195</v>
      </c>
      <c r="B233" s="2">
        <v>138104</v>
      </c>
      <c r="C233" s="2" t="s">
        <v>428</v>
      </c>
      <c r="E233" s="171">
        <v>0</v>
      </c>
      <c r="F233" s="171">
        <v>0</v>
      </c>
      <c r="G233" s="163"/>
      <c r="H233" s="171">
        <v>89971.676666666681</v>
      </c>
      <c r="I233" s="171">
        <v>1351.4233333333314</v>
      </c>
      <c r="J233" s="171">
        <v>102107.33333333334</v>
      </c>
      <c r="K233" s="163"/>
      <c r="L233" s="171">
        <v>0</v>
      </c>
      <c r="M233" s="171">
        <v>0</v>
      </c>
      <c r="N233" s="171">
        <v>0</v>
      </c>
      <c r="O233" s="164">
        <v>0</v>
      </c>
      <c r="P233" s="164">
        <v>0</v>
      </c>
      <c r="Q233" s="172">
        <f t="shared" si="40"/>
        <v>193430.43333333335</v>
      </c>
    </row>
    <row r="234" spans="1:17">
      <c r="A234" s="2">
        <v>1112</v>
      </c>
      <c r="B234" s="2">
        <v>146731</v>
      </c>
      <c r="C234" s="2" t="s">
        <v>429</v>
      </c>
      <c r="E234" s="171">
        <v>0</v>
      </c>
      <c r="F234" s="171">
        <v>0</v>
      </c>
      <c r="G234" s="163"/>
      <c r="H234" s="171">
        <v>0</v>
      </c>
      <c r="I234" s="171">
        <v>0</v>
      </c>
      <c r="J234" s="171">
        <v>0</v>
      </c>
      <c r="K234" s="163"/>
      <c r="L234" s="171">
        <v>0</v>
      </c>
      <c r="M234" s="171">
        <v>0</v>
      </c>
      <c r="N234" s="171">
        <v>0</v>
      </c>
      <c r="O234" s="164">
        <v>0</v>
      </c>
      <c r="P234" s="164">
        <v>0</v>
      </c>
      <c r="Q234" s="172">
        <f t="shared" si="40"/>
        <v>0</v>
      </c>
    </row>
    <row r="235" spans="1:17">
      <c r="A235" s="2">
        <v>1108</v>
      </c>
      <c r="B235" s="2">
        <v>139731</v>
      </c>
      <c r="C235" s="2" t="s">
        <v>430</v>
      </c>
      <c r="E235" s="171">
        <v>0</v>
      </c>
      <c r="F235" s="171">
        <v>0</v>
      </c>
      <c r="G235" s="163"/>
      <c r="H235" s="171">
        <v>0</v>
      </c>
      <c r="I235" s="171">
        <v>0</v>
      </c>
      <c r="J235" s="171">
        <v>0</v>
      </c>
      <c r="K235" s="163"/>
      <c r="L235" s="171">
        <v>0</v>
      </c>
      <c r="M235" s="171">
        <v>0</v>
      </c>
      <c r="N235" s="171">
        <v>0</v>
      </c>
      <c r="O235" s="164">
        <v>0</v>
      </c>
      <c r="P235" s="164">
        <v>0</v>
      </c>
      <c r="Q235" s="172">
        <f t="shared" si="40"/>
        <v>0</v>
      </c>
    </row>
    <row r="236" spans="1:17">
      <c r="A236" s="2">
        <v>2126</v>
      </c>
      <c r="B236" s="2">
        <v>139439</v>
      </c>
      <c r="C236" s="2" t="s">
        <v>431</v>
      </c>
      <c r="E236" s="171">
        <v>6740</v>
      </c>
      <c r="F236" s="171">
        <v>0</v>
      </c>
      <c r="G236" s="163"/>
      <c r="H236" s="171">
        <v>27046.080000000002</v>
      </c>
      <c r="I236" s="171">
        <v>577.61666666666542</v>
      </c>
      <c r="J236" s="171">
        <v>31334.333333333336</v>
      </c>
      <c r="K236" s="163"/>
      <c r="L236" s="171">
        <v>0</v>
      </c>
      <c r="M236" s="171">
        <v>0</v>
      </c>
      <c r="N236" s="171">
        <v>0</v>
      </c>
      <c r="O236" s="164">
        <v>0</v>
      </c>
      <c r="P236" s="164">
        <v>0</v>
      </c>
      <c r="Q236" s="172">
        <f t="shared" si="40"/>
        <v>65698.03</v>
      </c>
    </row>
    <row r="237" spans="1:17">
      <c r="A237" s="2">
        <v>2273</v>
      </c>
      <c r="B237" s="2">
        <v>143091</v>
      </c>
      <c r="C237" s="2" t="s">
        <v>432</v>
      </c>
      <c r="E237" s="171">
        <v>0</v>
      </c>
      <c r="F237" s="171">
        <v>0</v>
      </c>
      <c r="G237" s="163"/>
      <c r="H237" s="171">
        <v>65724.83</v>
      </c>
      <c r="I237" s="171">
        <v>891.40999999999894</v>
      </c>
      <c r="J237" s="171">
        <v>58848.999999999993</v>
      </c>
      <c r="K237" s="163"/>
      <c r="L237" s="171">
        <v>0</v>
      </c>
      <c r="M237" s="171">
        <v>0</v>
      </c>
      <c r="N237" s="171">
        <v>0</v>
      </c>
      <c r="O237" s="164">
        <v>0</v>
      </c>
      <c r="P237" s="164">
        <v>0</v>
      </c>
      <c r="Q237" s="172">
        <f t="shared" si="40"/>
        <v>125465.23999999999</v>
      </c>
    </row>
    <row r="238" spans="1:17">
      <c r="A238" s="2">
        <v>2145</v>
      </c>
      <c r="B238" s="2">
        <v>141206</v>
      </c>
      <c r="C238" s="2" t="s">
        <v>433</v>
      </c>
      <c r="E238" s="171">
        <v>0</v>
      </c>
      <c r="F238" s="171">
        <v>0</v>
      </c>
      <c r="G238" s="163"/>
      <c r="H238" s="171">
        <v>24571.82</v>
      </c>
      <c r="I238" s="171">
        <v>453.14239999999904</v>
      </c>
      <c r="J238" s="171">
        <v>19812.666666666668</v>
      </c>
      <c r="K238" s="163"/>
      <c r="L238" s="171">
        <v>0</v>
      </c>
      <c r="M238" s="171">
        <v>0</v>
      </c>
      <c r="N238" s="171">
        <v>0</v>
      </c>
      <c r="O238" s="164">
        <v>0</v>
      </c>
      <c r="P238" s="164">
        <v>0</v>
      </c>
      <c r="Q238" s="172">
        <f t="shared" si="40"/>
        <v>44837.629066666668</v>
      </c>
    </row>
    <row r="239" spans="1:17">
      <c r="A239" s="2">
        <v>4040</v>
      </c>
      <c r="B239" s="2">
        <v>148521</v>
      </c>
      <c r="C239" s="2" t="s">
        <v>434</v>
      </c>
      <c r="E239" s="171">
        <v>0</v>
      </c>
      <c r="F239" s="171">
        <v>0</v>
      </c>
      <c r="G239" s="163"/>
      <c r="H239" s="171">
        <v>21108.056666666667</v>
      </c>
      <c r="I239" s="171">
        <v>427.60999999999916</v>
      </c>
      <c r="J239" s="171">
        <v>37324.996666666666</v>
      </c>
      <c r="K239" s="163"/>
      <c r="L239" s="171">
        <v>0</v>
      </c>
      <c r="M239" s="171">
        <v>0</v>
      </c>
      <c r="N239" s="171">
        <v>0</v>
      </c>
      <c r="O239" s="164">
        <v>0</v>
      </c>
      <c r="P239" s="164">
        <v>0</v>
      </c>
      <c r="Q239" s="172">
        <f t="shared" si="40"/>
        <v>58860.66333333333</v>
      </c>
    </row>
    <row r="240" spans="1:17">
      <c r="A240" s="2">
        <v>2175</v>
      </c>
      <c r="B240" s="2">
        <v>144390</v>
      </c>
      <c r="C240" s="2" t="s">
        <v>435</v>
      </c>
      <c r="E240" s="171">
        <v>0</v>
      </c>
      <c r="F240" s="171">
        <v>0</v>
      </c>
      <c r="G240" s="163"/>
      <c r="H240" s="171">
        <v>43545.679999999993</v>
      </c>
      <c r="I240" s="171">
        <v>800.38333333333208</v>
      </c>
      <c r="J240" s="171">
        <v>68694.673333333325</v>
      </c>
      <c r="K240" s="163"/>
      <c r="L240" s="171">
        <v>0</v>
      </c>
      <c r="M240" s="171">
        <v>0</v>
      </c>
      <c r="N240" s="171">
        <v>0</v>
      </c>
      <c r="O240" s="164">
        <v>0</v>
      </c>
      <c r="P240" s="164">
        <v>0</v>
      </c>
      <c r="Q240" s="172">
        <f t="shared" si="40"/>
        <v>113040.73666666665</v>
      </c>
    </row>
    <row r="241" spans="1:17">
      <c r="A241" s="2">
        <v>2449</v>
      </c>
      <c r="B241" s="2">
        <v>140518</v>
      </c>
      <c r="C241" s="2" t="s">
        <v>436</v>
      </c>
      <c r="E241" s="171">
        <v>0</v>
      </c>
      <c r="F241" s="171">
        <v>0</v>
      </c>
      <c r="G241" s="163"/>
      <c r="H241" s="171">
        <v>29334.543333333335</v>
      </c>
      <c r="I241" s="171">
        <v>414.9733333333329</v>
      </c>
      <c r="J241" s="171">
        <v>29886.67</v>
      </c>
      <c r="K241" s="163"/>
      <c r="L241" s="171">
        <v>0</v>
      </c>
      <c r="M241" s="171">
        <v>0</v>
      </c>
      <c r="N241" s="171">
        <v>0</v>
      </c>
      <c r="O241" s="164">
        <v>0</v>
      </c>
      <c r="P241" s="164">
        <v>0</v>
      </c>
      <c r="Q241" s="172">
        <f t="shared" si="40"/>
        <v>59636.186666666661</v>
      </c>
    </row>
    <row r="242" spans="1:17">
      <c r="A242" s="2">
        <v>2068</v>
      </c>
      <c r="B242" s="2">
        <v>138303</v>
      </c>
      <c r="C242" s="2" t="s">
        <v>437</v>
      </c>
      <c r="E242" s="171">
        <v>0</v>
      </c>
      <c r="F242" s="171">
        <v>0</v>
      </c>
      <c r="G242" s="163"/>
      <c r="H242" s="171">
        <v>15200.313333333335</v>
      </c>
      <c r="I242" s="171">
        <v>256.0199999999993</v>
      </c>
      <c r="J242" s="171">
        <v>18502</v>
      </c>
      <c r="K242" s="163"/>
      <c r="L242" s="171">
        <v>0</v>
      </c>
      <c r="M242" s="171">
        <v>0</v>
      </c>
      <c r="N242" s="171">
        <v>0</v>
      </c>
      <c r="O242" s="164">
        <v>0</v>
      </c>
      <c r="P242" s="164">
        <v>0</v>
      </c>
      <c r="Q242" s="172">
        <f t="shared" si="40"/>
        <v>33958.333333333336</v>
      </c>
    </row>
    <row r="243" spans="1:17">
      <c r="A243" s="2">
        <v>4084</v>
      </c>
      <c r="B243" s="2">
        <v>139888</v>
      </c>
      <c r="C243" s="2" t="s">
        <v>438</v>
      </c>
      <c r="E243" s="171">
        <v>0</v>
      </c>
      <c r="F243" s="171">
        <v>0</v>
      </c>
      <c r="G243" s="163"/>
      <c r="H243" s="171">
        <v>83270.768333333341</v>
      </c>
      <c r="I243" s="171">
        <v>844.12499999999795</v>
      </c>
      <c r="J243" s="171">
        <v>62727.816666666666</v>
      </c>
      <c r="K243" s="163"/>
      <c r="L243" s="171">
        <v>0</v>
      </c>
      <c r="M243" s="171">
        <v>0</v>
      </c>
      <c r="N243" s="171">
        <v>0</v>
      </c>
      <c r="O243" s="164">
        <v>0</v>
      </c>
      <c r="P243" s="164">
        <v>0</v>
      </c>
      <c r="Q243" s="172">
        <f t="shared" si="40"/>
        <v>146842.71000000002</v>
      </c>
    </row>
    <row r="244" spans="1:17">
      <c r="A244" s="2">
        <v>4009</v>
      </c>
      <c r="B244" s="2">
        <v>142219</v>
      </c>
      <c r="C244" s="2" t="s">
        <v>439</v>
      </c>
      <c r="E244" s="171">
        <v>0</v>
      </c>
      <c r="F244" s="171">
        <v>0</v>
      </c>
      <c r="G244" s="163"/>
      <c r="H244" s="171">
        <v>70682.570000000022</v>
      </c>
      <c r="I244" s="171">
        <v>1362.1633333333307</v>
      </c>
      <c r="J244" s="171">
        <v>94599</v>
      </c>
      <c r="K244" s="163"/>
      <c r="L244" s="171">
        <v>0</v>
      </c>
      <c r="M244" s="171">
        <v>0</v>
      </c>
      <c r="N244" s="171">
        <v>0</v>
      </c>
      <c r="O244" s="164">
        <v>0</v>
      </c>
      <c r="P244" s="164">
        <v>0</v>
      </c>
      <c r="Q244" s="172">
        <f t="shared" si="40"/>
        <v>166643.73333333334</v>
      </c>
    </row>
    <row r="245" spans="1:17">
      <c r="A245" s="2">
        <v>4010</v>
      </c>
      <c r="B245" s="2">
        <v>139788</v>
      </c>
      <c r="C245" s="2" t="s">
        <v>440</v>
      </c>
      <c r="E245" s="171">
        <v>0</v>
      </c>
      <c r="F245" s="171">
        <v>0</v>
      </c>
      <c r="G245" s="163"/>
      <c r="H245" s="171">
        <v>0</v>
      </c>
      <c r="I245" s="171">
        <v>0</v>
      </c>
      <c r="J245" s="171">
        <v>0</v>
      </c>
      <c r="K245" s="163"/>
      <c r="L245" s="171">
        <v>0</v>
      </c>
      <c r="M245" s="171">
        <v>0</v>
      </c>
      <c r="N245" s="171">
        <v>0</v>
      </c>
      <c r="O245" s="164">
        <v>0</v>
      </c>
      <c r="P245" s="164">
        <v>0</v>
      </c>
      <c r="Q245" s="172">
        <f t="shared" si="40"/>
        <v>0</v>
      </c>
    </row>
    <row r="246" spans="1:17">
      <c r="A246" s="2">
        <v>2471</v>
      </c>
      <c r="B246" s="2">
        <v>143943</v>
      </c>
      <c r="C246" s="2" t="s">
        <v>441</v>
      </c>
      <c r="E246" s="171">
        <v>0</v>
      </c>
      <c r="F246" s="171">
        <v>0</v>
      </c>
      <c r="G246" s="163"/>
      <c r="H246" s="171">
        <v>34121.383333333339</v>
      </c>
      <c r="I246" s="171">
        <v>655.31333333333214</v>
      </c>
      <c r="J246" s="171">
        <v>45284.666666666657</v>
      </c>
      <c r="K246" s="163"/>
      <c r="L246" s="171">
        <v>0</v>
      </c>
      <c r="M246" s="171">
        <v>0</v>
      </c>
      <c r="N246" s="171">
        <v>0</v>
      </c>
      <c r="O246" s="164">
        <v>0</v>
      </c>
      <c r="P246" s="164">
        <v>0</v>
      </c>
      <c r="Q246" s="172">
        <f t="shared" si="40"/>
        <v>80061.363333333327</v>
      </c>
    </row>
    <row r="247" spans="1:17">
      <c r="A247" s="2">
        <v>7031</v>
      </c>
      <c r="B247" s="2">
        <v>138281</v>
      </c>
      <c r="C247" s="2" t="s">
        <v>442</v>
      </c>
      <c r="E247" s="171">
        <v>19950</v>
      </c>
      <c r="F247" s="171">
        <v>0</v>
      </c>
      <c r="G247" s="163"/>
      <c r="H247" s="171">
        <v>0</v>
      </c>
      <c r="I247" s="171">
        <v>0</v>
      </c>
      <c r="J247" s="171">
        <v>0</v>
      </c>
      <c r="K247" s="163"/>
      <c r="L247" s="171">
        <v>0</v>
      </c>
      <c r="M247" s="171">
        <v>0</v>
      </c>
      <c r="N247" s="171">
        <v>0</v>
      </c>
      <c r="O247" s="164">
        <v>0</v>
      </c>
      <c r="P247" s="164">
        <v>0</v>
      </c>
      <c r="Q247" s="172">
        <f t="shared" si="40"/>
        <v>19950</v>
      </c>
    </row>
    <row r="248" spans="1:17">
      <c r="A248" s="2">
        <v>2136</v>
      </c>
      <c r="B248" s="2">
        <v>139637</v>
      </c>
      <c r="C248" s="2" t="s">
        <v>443</v>
      </c>
      <c r="E248" s="171">
        <v>0</v>
      </c>
      <c r="F248" s="171">
        <v>0</v>
      </c>
      <c r="G248" s="163"/>
      <c r="H248" s="171">
        <v>63476.093333333323</v>
      </c>
      <c r="I248" s="171">
        <v>865.82313333333218</v>
      </c>
      <c r="J248" s="171">
        <v>87833.003333333327</v>
      </c>
      <c r="K248" s="163"/>
      <c r="L248" s="171">
        <v>0</v>
      </c>
      <c r="M248" s="171">
        <v>0</v>
      </c>
      <c r="N248" s="171">
        <v>0</v>
      </c>
      <c r="O248" s="164">
        <v>0</v>
      </c>
      <c r="P248" s="164">
        <v>0</v>
      </c>
      <c r="Q248" s="172">
        <f t="shared" si="40"/>
        <v>152174.91979999997</v>
      </c>
    </row>
    <row r="249" spans="1:17">
      <c r="A249" s="2">
        <v>2480</v>
      </c>
      <c r="B249" s="2">
        <v>142386</v>
      </c>
      <c r="C249" s="2" t="s">
        <v>444</v>
      </c>
      <c r="E249" s="171">
        <v>0</v>
      </c>
      <c r="F249" s="171">
        <v>0</v>
      </c>
      <c r="G249" s="163"/>
      <c r="H249" s="171">
        <v>63380.529999999992</v>
      </c>
      <c r="I249" s="171">
        <v>1034.9966666666646</v>
      </c>
      <c r="J249" s="171">
        <v>63034.003333333327</v>
      </c>
      <c r="K249" s="163"/>
      <c r="L249" s="171">
        <v>0</v>
      </c>
      <c r="M249" s="171">
        <v>0</v>
      </c>
      <c r="N249" s="171">
        <v>0</v>
      </c>
      <c r="O249" s="164">
        <v>35968.40625</v>
      </c>
      <c r="P249" s="164">
        <v>25691.71875</v>
      </c>
      <c r="Q249" s="172">
        <f t="shared" si="40"/>
        <v>189109.65499999997</v>
      </c>
    </row>
    <row r="250" spans="1:17">
      <c r="A250" s="2">
        <v>2146</v>
      </c>
      <c r="B250" s="2">
        <v>141319</v>
      </c>
      <c r="C250" s="2" t="s">
        <v>445</v>
      </c>
      <c r="E250" s="171">
        <v>0</v>
      </c>
      <c r="F250" s="171">
        <v>0</v>
      </c>
      <c r="G250" s="163"/>
      <c r="H250" s="171">
        <v>70332.896666666682</v>
      </c>
      <c r="I250" s="171">
        <v>1279.5599999999986</v>
      </c>
      <c r="J250" s="171">
        <v>81650.670000000027</v>
      </c>
      <c r="K250" s="163"/>
      <c r="L250" s="171">
        <v>0</v>
      </c>
      <c r="M250" s="171">
        <v>0</v>
      </c>
      <c r="N250" s="171">
        <v>0</v>
      </c>
      <c r="O250" s="164">
        <v>0</v>
      </c>
      <c r="P250" s="164">
        <v>0</v>
      </c>
      <c r="Q250" s="172">
        <f t="shared" si="40"/>
        <v>153263.12666666671</v>
      </c>
    </row>
    <row r="251" spans="1:17">
      <c r="A251" s="2">
        <v>4246</v>
      </c>
      <c r="B251" s="2">
        <v>139994</v>
      </c>
      <c r="C251" s="2" t="s">
        <v>446</v>
      </c>
      <c r="E251" s="171">
        <v>0</v>
      </c>
      <c r="F251" s="171">
        <v>0</v>
      </c>
      <c r="G251" s="163"/>
      <c r="H251" s="171">
        <v>35393.82</v>
      </c>
      <c r="I251" s="171">
        <v>692.73999999999887</v>
      </c>
      <c r="J251" s="171">
        <v>44792.083333333328</v>
      </c>
      <c r="K251" s="163"/>
      <c r="L251" s="171">
        <v>16798.766666666666</v>
      </c>
      <c r="M251" s="171">
        <v>0</v>
      </c>
      <c r="N251" s="171">
        <v>0</v>
      </c>
      <c r="O251" s="164">
        <v>0</v>
      </c>
      <c r="P251" s="164">
        <v>0</v>
      </c>
      <c r="Q251" s="172">
        <f t="shared" si="40"/>
        <v>97677.409999999989</v>
      </c>
    </row>
    <row r="252" spans="1:17">
      <c r="A252" s="2">
        <v>2122</v>
      </c>
      <c r="B252" s="2">
        <v>139378</v>
      </c>
      <c r="C252" s="2" t="s">
        <v>447</v>
      </c>
      <c r="E252" s="171">
        <v>0</v>
      </c>
      <c r="F252" s="171">
        <v>0</v>
      </c>
      <c r="G252" s="163"/>
      <c r="H252" s="171">
        <v>59740.88</v>
      </c>
      <c r="I252" s="171">
        <v>881.27999999999861</v>
      </c>
      <c r="J252" s="171">
        <v>77704.666666666672</v>
      </c>
      <c r="K252" s="163"/>
      <c r="L252" s="171">
        <v>0</v>
      </c>
      <c r="M252" s="171">
        <v>0</v>
      </c>
      <c r="N252" s="171">
        <v>0</v>
      </c>
      <c r="O252" s="164">
        <v>0</v>
      </c>
      <c r="P252" s="164">
        <v>0</v>
      </c>
      <c r="Q252" s="172">
        <f t="shared" si="40"/>
        <v>138326.82666666666</v>
      </c>
    </row>
    <row r="253" spans="1:17">
      <c r="A253" s="2">
        <v>2485</v>
      </c>
      <c r="B253" s="2">
        <v>146722</v>
      </c>
      <c r="C253" s="2" t="s">
        <v>448</v>
      </c>
      <c r="E253" s="171">
        <v>0</v>
      </c>
      <c r="F253" s="171">
        <v>0</v>
      </c>
      <c r="G253" s="163"/>
      <c r="H253" s="171">
        <v>34712.246666666666</v>
      </c>
      <c r="I253" s="171">
        <v>616.56333333333214</v>
      </c>
      <c r="J253" s="171">
        <v>34645.666666666664</v>
      </c>
      <c r="K253" s="163"/>
      <c r="L253" s="171">
        <v>0</v>
      </c>
      <c r="M253" s="171">
        <v>0</v>
      </c>
      <c r="N253" s="171">
        <v>0</v>
      </c>
      <c r="O253" s="164">
        <v>0</v>
      </c>
      <c r="P253" s="164">
        <v>0</v>
      </c>
      <c r="Q253" s="172">
        <f t="shared" si="40"/>
        <v>69974.476666666655</v>
      </c>
    </row>
    <row r="254" spans="1:17">
      <c r="A254" s="2">
        <v>2180</v>
      </c>
      <c r="B254" s="2">
        <v>142858</v>
      </c>
      <c r="C254" s="2" t="s">
        <v>449</v>
      </c>
      <c r="E254" s="171">
        <v>0</v>
      </c>
      <c r="F254" s="171">
        <v>0</v>
      </c>
      <c r="G254" s="163"/>
      <c r="H254" s="171">
        <v>113803.95333333335</v>
      </c>
      <c r="I254" s="171">
        <v>1780.3799999999965</v>
      </c>
      <c r="J254" s="171">
        <v>115016.33</v>
      </c>
      <c r="K254" s="163"/>
      <c r="L254" s="171">
        <v>0</v>
      </c>
      <c r="M254" s="171">
        <v>0</v>
      </c>
      <c r="N254" s="171">
        <v>0</v>
      </c>
      <c r="O254" s="164">
        <v>0</v>
      </c>
      <c r="P254" s="164">
        <v>0</v>
      </c>
      <c r="Q254" s="172">
        <f t="shared" si="40"/>
        <v>230600.66333333333</v>
      </c>
    </row>
    <row r="255" spans="1:17">
      <c r="A255" s="2">
        <v>3323</v>
      </c>
      <c r="B255" s="2">
        <v>103427</v>
      </c>
      <c r="C255" s="2" t="s">
        <v>13</v>
      </c>
      <c r="E255" s="171"/>
      <c r="F255" s="171">
        <v>0</v>
      </c>
      <c r="G255" s="163"/>
      <c r="H255" s="171"/>
      <c r="I255" s="171">
        <v>406.36</v>
      </c>
      <c r="J255" s="171">
        <v>16836.993333333332</v>
      </c>
      <c r="K255" s="163"/>
      <c r="L255" s="171"/>
      <c r="M255" s="171"/>
      <c r="N255" s="171"/>
      <c r="O255" s="164"/>
      <c r="P255" s="164"/>
      <c r="Q255" s="172"/>
    </row>
    <row r="256" spans="1:17">
      <c r="A256" s="2">
        <v>2314</v>
      </c>
      <c r="B256" s="2">
        <v>103334</v>
      </c>
      <c r="C256" s="2" t="s">
        <v>14</v>
      </c>
      <c r="E256" s="171"/>
      <c r="F256" s="171">
        <v>0</v>
      </c>
      <c r="G256" s="163"/>
      <c r="H256" s="171"/>
      <c r="I256" s="171">
        <v>458.55</v>
      </c>
      <c r="J256" s="171">
        <v>23675.66333333333</v>
      </c>
      <c r="K256" s="163"/>
      <c r="L256" s="171"/>
      <c r="M256" s="171"/>
      <c r="N256" s="171"/>
      <c r="O256" s="164"/>
      <c r="P256" s="164"/>
      <c r="Q256" s="172"/>
    </row>
    <row r="257" spans="1:28">
      <c r="A257" s="2">
        <v>3380</v>
      </c>
      <c r="B257" s="2">
        <v>103465</v>
      </c>
      <c r="C257" s="2" t="s">
        <v>15</v>
      </c>
      <c r="E257" s="171"/>
      <c r="F257" s="171">
        <v>0</v>
      </c>
      <c r="G257" s="163"/>
      <c r="H257" s="171"/>
      <c r="I257" s="171"/>
      <c r="J257" s="171">
        <v>35617.403333333335</v>
      </c>
      <c r="K257" s="163"/>
      <c r="L257" s="171"/>
      <c r="M257" s="171"/>
      <c r="N257" s="171"/>
      <c r="O257" s="164"/>
      <c r="P257" s="164"/>
      <c r="Q257" s="172"/>
    </row>
    <row r="258" spans="1:28">
      <c r="A258" s="2">
        <v>3431</v>
      </c>
      <c r="B258" s="2">
        <v>134774</v>
      </c>
      <c r="C258" s="2" t="s">
        <v>16</v>
      </c>
      <c r="E258" s="171"/>
      <c r="F258" s="171">
        <v>0</v>
      </c>
      <c r="G258" s="163"/>
      <c r="H258" s="171"/>
      <c r="I258" s="171">
        <v>1612.58</v>
      </c>
      <c r="J258" s="171">
        <v>63676.009999999995</v>
      </c>
      <c r="K258" s="163"/>
      <c r="L258" s="171"/>
      <c r="M258" s="171"/>
      <c r="N258" s="171"/>
      <c r="O258" s="164"/>
      <c r="P258" s="164"/>
      <c r="Q258" s="172"/>
    </row>
    <row r="259" spans="1:28">
      <c r="A259" s="2">
        <v>3329</v>
      </c>
      <c r="B259" s="2">
        <v>103431</v>
      </c>
      <c r="C259" s="2" t="s">
        <v>17</v>
      </c>
      <c r="E259" s="171"/>
      <c r="F259" s="171">
        <v>0</v>
      </c>
      <c r="G259" s="163"/>
      <c r="H259" s="171"/>
      <c r="I259" s="171"/>
      <c r="J259" s="171">
        <v>26912</v>
      </c>
      <c r="K259" s="163"/>
      <c r="L259" s="171"/>
      <c r="M259" s="171"/>
      <c r="N259" s="171"/>
      <c r="O259" s="164"/>
      <c r="P259" s="164"/>
      <c r="Q259" s="172"/>
    </row>
    <row r="260" spans="1:28">
      <c r="A260" s="2">
        <v>3406</v>
      </c>
      <c r="B260" s="2">
        <v>103476</v>
      </c>
      <c r="C260" s="2" t="s">
        <v>18</v>
      </c>
      <c r="E260" s="171"/>
      <c r="F260" s="171">
        <v>0</v>
      </c>
      <c r="G260" s="163"/>
      <c r="H260" s="171"/>
      <c r="I260" s="171"/>
      <c r="J260" s="171">
        <v>8652</v>
      </c>
      <c r="K260" s="163"/>
      <c r="L260" s="171"/>
      <c r="M260" s="171"/>
      <c r="N260" s="171"/>
      <c r="O260" s="164"/>
      <c r="P260" s="164"/>
      <c r="Q260" s="172"/>
    </row>
    <row r="261" spans="1:28">
      <c r="A261" s="2">
        <v>3342</v>
      </c>
      <c r="B261" s="2">
        <v>103437</v>
      </c>
      <c r="C261" s="2" t="s">
        <v>19</v>
      </c>
      <c r="E261" s="171"/>
      <c r="F261" s="171">
        <v>0</v>
      </c>
      <c r="G261" s="163"/>
      <c r="H261" s="171"/>
      <c r="I261" s="171"/>
      <c r="J261" s="171">
        <v>35227.006666666668</v>
      </c>
      <c r="K261" s="163"/>
      <c r="L261" s="171"/>
      <c r="M261" s="171"/>
      <c r="N261" s="171"/>
      <c r="O261" s="164"/>
      <c r="P261" s="164"/>
      <c r="Q261" s="172"/>
    </row>
    <row r="262" spans="1:28">
      <c r="A262" s="2">
        <v>3365</v>
      </c>
      <c r="B262" s="2">
        <v>103456</v>
      </c>
      <c r="C262" s="2" t="s">
        <v>20</v>
      </c>
      <c r="E262" s="171"/>
      <c r="F262" s="171">
        <v>0</v>
      </c>
      <c r="G262" s="163"/>
      <c r="H262" s="171"/>
      <c r="I262" s="171"/>
      <c r="J262" s="171">
        <v>52490</v>
      </c>
      <c r="K262" s="163"/>
      <c r="L262" s="171"/>
      <c r="M262" s="171"/>
      <c r="N262" s="171"/>
      <c r="O262" s="164"/>
      <c r="P262" s="164"/>
      <c r="Q262" s="172"/>
    </row>
    <row r="263" spans="1:28">
      <c r="A263" s="2">
        <v>3310</v>
      </c>
      <c r="B263" s="2">
        <v>103417</v>
      </c>
      <c r="C263" s="2" t="s">
        <v>21</v>
      </c>
      <c r="E263" s="171"/>
      <c r="F263" s="171">
        <v>0</v>
      </c>
      <c r="G263" s="163"/>
      <c r="H263" s="171"/>
      <c r="I263" s="171"/>
      <c r="J263" s="171">
        <v>31825.003333333334</v>
      </c>
      <c r="K263" s="163"/>
      <c r="L263" s="171"/>
      <c r="M263" s="171"/>
      <c r="N263" s="171"/>
      <c r="O263" s="164"/>
      <c r="P263" s="164"/>
      <c r="Q263" s="172"/>
    </row>
    <row r="265" spans="1:28" ht="15" thickBot="1">
      <c r="E265" s="166">
        <f t="shared" ref="E265:Q265" si="41">SUM(E7:E263)</f>
        <v>577515</v>
      </c>
      <c r="F265" s="166">
        <f t="shared" si="41"/>
        <v>16271.51</v>
      </c>
      <c r="G265" s="166">
        <f t="shared" si="41"/>
        <v>0</v>
      </c>
      <c r="H265" s="166">
        <f t="shared" si="41"/>
        <v>9248639.1099999975</v>
      </c>
      <c r="I265" s="166">
        <f t="shared" si="41"/>
        <v>154813.95513333305</v>
      </c>
      <c r="J265" s="166">
        <f>SUM(J7:J263)</f>
        <v>10072391.796666665</v>
      </c>
      <c r="K265" s="166">
        <f t="shared" si="41"/>
        <v>0</v>
      </c>
      <c r="L265" s="166">
        <f t="shared" si="41"/>
        <v>1014104.3033333336</v>
      </c>
      <c r="M265" s="166">
        <f t="shared" si="41"/>
        <v>83907.237500000003</v>
      </c>
      <c r="N265" s="166">
        <f t="shared" si="41"/>
        <v>1033309.9174999997</v>
      </c>
      <c r="O265" s="166">
        <f t="shared" si="41"/>
        <v>62553.75</v>
      </c>
      <c r="P265" s="166">
        <f t="shared" si="41"/>
        <v>44681.25</v>
      </c>
      <c r="Q265" s="166">
        <f t="shared" si="41"/>
        <v>21927379.410133347</v>
      </c>
      <c r="S265" s="263">
        <f t="shared" ref="S265:AB265" si="42">SUM(S72:S208)</f>
        <v>648200.65833333344</v>
      </c>
      <c r="T265" s="263">
        <f t="shared" si="42"/>
        <v>10077140.777933331</v>
      </c>
      <c r="U265" s="263">
        <f t="shared" si="42"/>
        <v>0</v>
      </c>
      <c r="V265" s="263">
        <f t="shared" si="42"/>
        <v>0</v>
      </c>
      <c r="W265" s="263">
        <f t="shared" si="42"/>
        <v>0</v>
      </c>
      <c r="X265" s="263">
        <f t="shared" si="42"/>
        <v>0</v>
      </c>
      <c r="Y265" s="263">
        <f t="shared" si="42"/>
        <v>0</v>
      </c>
      <c r="Z265" s="263">
        <f t="shared" si="42"/>
        <v>0</v>
      </c>
      <c r="AA265" s="263">
        <f t="shared" si="42"/>
        <v>0</v>
      </c>
      <c r="AB265" s="263">
        <f t="shared" si="42"/>
        <v>0</v>
      </c>
    </row>
    <row r="266" spans="1:28" ht="15" thickTop="1">
      <c r="I266" s="39"/>
    </row>
    <row r="268" spans="1:28">
      <c r="I268" s="39"/>
    </row>
  </sheetData>
  <sheetProtection algorithmName="SHA-512" hashValue="iEu9EWcner8o9pBFgVJtIBOT6v1NC0mx8M5cl2rD5j9ZDDUjedVVVnVb3azpNmagZymqguBKPutQnjrlKQUkCA==" saltValue="N9EVI1cDYP019LNejv1VGg==" spinCount="100000" sheet="1" autoFilter="0"/>
  <autoFilter ref="A6:AB263" xr:uid="{9984FC59-A7D2-4F54-8D8D-8CE8D025D01A}"/>
  <conditionalFormatting sqref="H6:P6 A6:D7 E265:Q265">
    <cfRule type="cellIs" dxfId="9" priority="3" operator="lessThan">
      <formula>0</formula>
    </cfRule>
  </conditionalFormatting>
  <conditionalFormatting sqref="Q6:Q263">
    <cfRule type="cellIs" dxfId="8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AC25-0319-43A5-9108-6C8C7348D185}">
  <sheetPr codeName="Sheet2"/>
  <dimension ref="A1:FF263"/>
  <sheetViews>
    <sheetView zoomScale="80" zoomScaleNormal="80" workbookViewId="0">
      <selection activeCell="J270" sqref="J270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4" max="14" width="14.7265625" customWidth="1"/>
    <col min="15" max="15" width="17.26953125" bestFit="1" customWidth="1"/>
    <col min="16" max="44" width="14.7265625" customWidth="1"/>
    <col min="45" max="45" width="13.81640625" bestFit="1" customWidth="1"/>
    <col min="46" max="46" width="3.26953125" bestFit="1" customWidth="1"/>
    <col min="47" max="47" width="16.26953125" bestFit="1" customWidth="1"/>
    <col min="48" max="49" width="14.7265625" customWidth="1"/>
    <col min="50" max="50" width="16.26953125" bestFit="1" customWidth="1"/>
    <col min="51" max="51" width="12.26953125" bestFit="1" customWidth="1"/>
    <col min="52" max="54" width="14.7265625" customWidth="1"/>
  </cols>
  <sheetData>
    <row r="1" spans="1:162">
      <c r="A1" s="1" t="s">
        <v>164</v>
      </c>
      <c r="B1" s="1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K1" s="233"/>
      <c r="AL1" s="233"/>
      <c r="AM1" s="233"/>
      <c r="AN1" s="233"/>
      <c r="AO1" s="233"/>
      <c r="AP1" s="233"/>
      <c r="AQ1" s="233"/>
      <c r="AR1" s="233"/>
    </row>
    <row r="2" spans="1:162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49</v>
      </c>
      <c r="AU2">
        <v>50</v>
      </c>
      <c r="AV2">
        <v>51</v>
      </c>
      <c r="AW2">
        <v>52</v>
      </c>
      <c r="AX2">
        <v>53</v>
      </c>
      <c r="AY2">
        <v>54</v>
      </c>
      <c r="AZ2">
        <v>53</v>
      </c>
      <c r="BA2">
        <v>57</v>
      </c>
      <c r="BB2">
        <v>58</v>
      </c>
      <c r="BC2">
        <v>59</v>
      </c>
      <c r="BD2">
        <v>60</v>
      </c>
      <c r="BE2">
        <v>61</v>
      </c>
      <c r="BF2">
        <v>62</v>
      </c>
      <c r="BG2">
        <v>63</v>
      </c>
      <c r="BH2">
        <v>64</v>
      </c>
      <c r="BI2">
        <v>65</v>
      </c>
      <c r="BJ2">
        <v>66</v>
      </c>
      <c r="BK2">
        <v>67</v>
      </c>
      <c r="BL2">
        <v>68</v>
      </c>
      <c r="BM2">
        <v>69</v>
      </c>
      <c r="BN2">
        <v>70</v>
      </c>
      <c r="BO2">
        <v>71</v>
      </c>
      <c r="BP2">
        <v>72</v>
      </c>
      <c r="BQ2">
        <v>73</v>
      </c>
      <c r="BR2">
        <v>73</v>
      </c>
      <c r="BS2">
        <v>74</v>
      </c>
      <c r="BT2">
        <v>75</v>
      </c>
      <c r="BU2">
        <v>76</v>
      </c>
      <c r="BV2">
        <v>77</v>
      </c>
      <c r="BW2">
        <v>78</v>
      </c>
      <c r="BX2">
        <v>79</v>
      </c>
      <c r="BY2">
        <v>80</v>
      </c>
      <c r="BZ2">
        <v>81</v>
      </c>
      <c r="CA2">
        <v>82</v>
      </c>
      <c r="CB2">
        <v>83</v>
      </c>
      <c r="CC2">
        <v>84</v>
      </c>
      <c r="CD2">
        <v>85</v>
      </c>
      <c r="CE2">
        <v>86</v>
      </c>
      <c r="CF2">
        <v>87</v>
      </c>
      <c r="CG2">
        <v>88</v>
      </c>
      <c r="CH2">
        <v>89</v>
      </c>
      <c r="CI2">
        <v>90</v>
      </c>
      <c r="CJ2">
        <v>91</v>
      </c>
      <c r="CK2">
        <v>92</v>
      </c>
      <c r="CL2">
        <v>93</v>
      </c>
      <c r="CM2">
        <v>94</v>
      </c>
      <c r="CN2">
        <v>95</v>
      </c>
      <c r="CO2">
        <v>96</v>
      </c>
      <c r="CP2">
        <v>97</v>
      </c>
      <c r="CQ2">
        <v>98</v>
      </c>
      <c r="CR2">
        <v>99</v>
      </c>
      <c r="CS2">
        <v>100</v>
      </c>
      <c r="CT2">
        <v>101</v>
      </c>
      <c r="CU2">
        <v>102</v>
      </c>
      <c r="CV2">
        <v>103</v>
      </c>
      <c r="CW2">
        <v>104</v>
      </c>
      <c r="CX2">
        <v>105</v>
      </c>
      <c r="CY2">
        <v>106</v>
      </c>
      <c r="CZ2">
        <v>107</v>
      </c>
      <c r="DA2">
        <v>108</v>
      </c>
      <c r="DB2">
        <v>109</v>
      </c>
      <c r="DC2">
        <v>110</v>
      </c>
      <c r="DD2">
        <v>111</v>
      </c>
      <c r="DE2">
        <v>112</v>
      </c>
      <c r="DF2">
        <v>113</v>
      </c>
      <c r="DG2">
        <v>114</v>
      </c>
      <c r="DH2">
        <v>114</v>
      </c>
      <c r="DI2">
        <v>115</v>
      </c>
      <c r="DJ2">
        <v>116</v>
      </c>
      <c r="DK2">
        <v>117</v>
      </c>
      <c r="DL2">
        <v>118</v>
      </c>
      <c r="DM2">
        <v>119</v>
      </c>
      <c r="DN2">
        <v>120</v>
      </c>
      <c r="DO2">
        <v>121</v>
      </c>
      <c r="DP2">
        <v>122</v>
      </c>
      <c r="DQ2">
        <v>123</v>
      </c>
      <c r="DR2">
        <v>124</v>
      </c>
      <c r="DS2">
        <v>125</v>
      </c>
      <c r="DT2">
        <v>126</v>
      </c>
      <c r="DU2">
        <v>127</v>
      </c>
      <c r="DV2">
        <v>128</v>
      </c>
      <c r="DW2">
        <v>129</v>
      </c>
      <c r="DX2">
        <v>130</v>
      </c>
      <c r="DY2">
        <v>131</v>
      </c>
      <c r="DZ2">
        <v>132</v>
      </c>
      <c r="EA2">
        <v>133</v>
      </c>
      <c r="EB2">
        <v>134</v>
      </c>
      <c r="EC2">
        <v>135</v>
      </c>
      <c r="ED2">
        <v>136</v>
      </c>
      <c r="EE2">
        <v>137</v>
      </c>
      <c r="EF2">
        <v>138</v>
      </c>
      <c r="EG2">
        <v>139</v>
      </c>
      <c r="EH2">
        <v>140</v>
      </c>
      <c r="EI2">
        <v>141</v>
      </c>
      <c r="EJ2">
        <v>142</v>
      </c>
      <c r="EK2">
        <v>143</v>
      </c>
      <c r="EL2">
        <v>144</v>
      </c>
      <c r="EM2">
        <v>145</v>
      </c>
      <c r="EN2">
        <v>146</v>
      </c>
      <c r="EO2">
        <v>147</v>
      </c>
      <c r="EP2">
        <v>148</v>
      </c>
      <c r="EQ2">
        <v>149</v>
      </c>
      <c r="ER2">
        <v>150</v>
      </c>
      <c r="ES2">
        <v>151</v>
      </c>
      <c r="ET2">
        <v>152</v>
      </c>
      <c r="EU2">
        <v>153</v>
      </c>
      <c r="EV2">
        <v>154</v>
      </c>
      <c r="EW2">
        <v>155</v>
      </c>
      <c r="EX2">
        <v>156</v>
      </c>
      <c r="EY2">
        <v>157</v>
      </c>
      <c r="EZ2">
        <v>158</v>
      </c>
      <c r="FA2">
        <v>159</v>
      </c>
      <c r="FB2">
        <v>160</v>
      </c>
      <c r="FC2">
        <v>161</v>
      </c>
      <c r="FD2">
        <v>162</v>
      </c>
      <c r="FE2">
        <v>163</v>
      </c>
      <c r="FF2">
        <v>164</v>
      </c>
    </row>
    <row r="3" spans="1:162">
      <c r="D3" s="46" t="s">
        <v>154</v>
      </c>
      <c r="E3" s="2" t="s">
        <v>7</v>
      </c>
      <c r="F3" s="2" t="s">
        <v>90</v>
      </c>
      <c r="G3" s="2" t="s">
        <v>7</v>
      </c>
      <c r="H3" s="2" t="s">
        <v>7</v>
      </c>
      <c r="I3" s="2" t="s">
        <v>4</v>
      </c>
      <c r="J3" s="2" t="s">
        <v>4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162">
      <c r="D4" s="46" t="s">
        <v>155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162" ht="15" thickBot="1"/>
    <row r="6" spans="1:162" ht="48.75" customHeight="1" thickBot="1">
      <c r="A6" s="151" t="s">
        <v>1</v>
      </c>
      <c r="B6" s="152" t="s">
        <v>2</v>
      </c>
      <c r="C6" s="154" t="s">
        <v>3</v>
      </c>
      <c r="D6" s="169"/>
      <c r="E6" s="151" t="s">
        <v>465</v>
      </c>
      <c r="F6" s="151" t="s">
        <v>475</v>
      </c>
      <c r="G6" s="153" t="s">
        <v>484</v>
      </c>
      <c r="H6" s="153" t="s">
        <v>492</v>
      </c>
      <c r="I6" s="153" t="s">
        <v>494</v>
      </c>
      <c r="J6" s="153" t="s">
        <v>495</v>
      </c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65"/>
      <c r="AL6" s="165"/>
      <c r="AM6" s="165"/>
      <c r="AN6" s="165"/>
      <c r="AO6" s="165"/>
      <c r="AP6" s="165"/>
      <c r="AQ6" s="165"/>
      <c r="AR6" s="165"/>
      <c r="AS6" s="154" t="s">
        <v>41</v>
      </c>
      <c r="AU6" s="155" t="s">
        <v>4</v>
      </c>
      <c r="AV6" s="156" t="s">
        <v>8</v>
      </c>
      <c r="AW6" s="156" t="s">
        <v>7</v>
      </c>
      <c r="AX6" s="156" t="s">
        <v>87</v>
      </c>
      <c r="AY6" s="156" t="s">
        <v>90</v>
      </c>
      <c r="AZ6" s="156" t="s">
        <v>124</v>
      </c>
      <c r="BA6" s="157" t="s">
        <v>106</v>
      </c>
      <c r="BB6" s="158" t="s">
        <v>163</v>
      </c>
    </row>
    <row r="7" spans="1:162">
      <c r="A7" s="167">
        <v>3318</v>
      </c>
      <c r="B7" s="159">
        <v>147669</v>
      </c>
      <c r="C7" s="159" t="s">
        <v>212</v>
      </c>
      <c r="D7" s="170"/>
      <c r="E7" s="164">
        <v>0</v>
      </c>
      <c r="F7" s="164"/>
      <c r="G7" s="164">
        <v>0</v>
      </c>
      <c r="H7" s="164">
        <v>0</v>
      </c>
      <c r="I7" s="164">
        <v>0</v>
      </c>
      <c r="J7" s="164">
        <v>0</v>
      </c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64"/>
      <c r="V7" s="164"/>
      <c r="W7" s="171"/>
      <c r="X7" s="164"/>
      <c r="Y7" s="164"/>
      <c r="Z7" s="164"/>
      <c r="AA7" s="164"/>
      <c r="AB7" s="171"/>
      <c r="AC7" s="171"/>
      <c r="AD7" s="171"/>
      <c r="AE7" s="171"/>
      <c r="AF7" s="234"/>
      <c r="AG7" s="171"/>
      <c r="AH7" s="171"/>
      <c r="AI7" s="164"/>
      <c r="AJ7" s="164"/>
      <c r="AK7" s="164"/>
      <c r="AL7" s="164"/>
      <c r="AM7" s="164"/>
      <c r="AN7" s="238"/>
      <c r="AO7" s="238"/>
      <c r="AP7" s="243"/>
      <c r="AQ7" s="243"/>
      <c r="AR7" s="243"/>
      <c r="AS7" s="172">
        <f>SUM(E7:AR7)</f>
        <v>0</v>
      </c>
      <c r="AU7" s="30">
        <f>SUMIF($E$3:$AR$3,AU$6,$E7:$AR7)</f>
        <v>0</v>
      </c>
      <c r="AV7" s="30">
        <f t="shared" ref="AV7:BA22" si="0">SUMIF($E$3:$AR$3,AV$6,$E7:$AR7)</f>
        <v>0</v>
      </c>
      <c r="AW7" s="30">
        <f t="shared" si="0"/>
        <v>0</v>
      </c>
      <c r="AX7" s="30">
        <f t="shared" si="0"/>
        <v>0</v>
      </c>
      <c r="AY7" s="30">
        <f t="shared" si="0"/>
        <v>0</v>
      </c>
      <c r="AZ7" s="30">
        <f t="shared" si="0"/>
        <v>0</v>
      </c>
      <c r="BA7" s="30">
        <f t="shared" si="0"/>
        <v>0</v>
      </c>
      <c r="BB7" s="39">
        <f t="shared" ref="BB7:BB38" si="1">SUM(AU7:BA7)-AS7</f>
        <v>0</v>
      </c>
    </row>
    <row r="8" spans="1:162">
      <c r="A8" s="168">
        <v>2020</v>
      </c>
      <c r="B8" s="2">
        <v>139443</v>
      </c>
      <c r="C8" s="2" t="s">
        <v>213</v>
      </c>
      <c r="E8" s="164">
        <v>0</v>
      </c>
      <c r="F8" s="164"/>
      <c r="G8" s="164">
        <v>0</v>
      </c>
      <c r="H8" s="164">
        <v>0</v>
      </c>
      <c r="I8" s="164">
        <v>0</v>
      </c>
      <c r="J8" s="164">
        <v>0</v>
      </c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64"/>
      <c r="V8" s="164"/>
      <c r="W8" s="171"/>
      <c r="X8" s="164"/>
      <c r="Y8" s="164"/>
      <c r="Z8" s="164"/>
      <c r="AA8" s="164"/>
      <c r="AB8" s="171"/>
      <c r="AC8" s="171"/>
      <c r="AD8" s="171"/>
      <c r="AE8" s="171"/>
      <c r="AF8" s="234"/>
      <c r="AG8" s="171"/>
      <c r="AH8" s="171"/>
      <c r="AI8" s="164"/>
      <c r="AJ8" s="164"/>
      <c r="AK8" s="164"/>
      <c r="AL8" s="164"/>
      <c r="AM8" s="164"/>
      <c r="AN8" s="238"/>
      <c r="AO8" s="238"/>
      <c r="AP8" s="243"/>
      <c r="AQ8" s="243"/>
      <c r="AR8" s="243"/>
      <c r="AS8" s="172">
        <f t="shared" ref="AS8:AS69" si="2">SUM(E8:AR8)</f>
        <v>0</v>
      </c>
      <c r="AU8" s="30">
        <f t="shared" ref="AU8:BA39" si="3">SUMIF($E$3:$AR$3,AU$6,$E8:$AR8)</f>
        <v>0</v>
      </c>
      <c r="AV8" s="30">
        <f t="shared" si="0"/>
        <v>0</v>
      </c>
      <c r="AW8" s="30">
        <f t="shared" si="0"/>
        <v>0</v>
      </c>
      <c r="AX8" s="30">
        <f t="shared" si="0"/>
        <v>0</v>
      </c>
      <c r="AY8" s="30">
        <f t="shared" si="0"/>
        <v>0</v>
      </c>
      <c r="AZ8" s="30">
        <f t="shared" si="0"/>
        <v>0</v>
      </c>
      <c r="BA8" s="30">
        <f t="shared" si="0"/>
        <v>0</v>
      </c>
      <c r="BB8" s="39">
        <f t="shared" si="1"/>
        <v>0</v>
      </c>
    </row>
    <row r="9" spans="1:162">
      <c r="A9" s="168">
        <v>3433</v>
      </c>
      <c r="B9" s="2">
        <v>140889</v>
      </c>
      <c r="C9" s="2" t="s">
        <v>214</v>
      </c>
      <c r="E9" s="164">
        <v>0</v>
      </c>
      <c r="F9" s="164"/>
      <c r="G9" s="164">
        <v>0</v>
      </c>
      <c r="H9" s="164">
        <v>0</v>
      </c>
      <c r="I9" s="164">
        <v>0</v>
      </c>
      <c r="J9" s="164">
        <v>0</v>
      </c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64"/>
      <c r="V9" s="164"/>
      <c r="W9" s="171"/>
      <c r="X9" s="164"/>
      <c r="Y9" s="164"/>
      <c r="Z9" s="164"/>
      <c r="AA9" s="164"/>
      <c r="AB9" s="171"/>
      <c r="AC9" s="171"/>
      <c r="AD9" s="171"/>
      <c r="AE9" s="171"/>
      <c r="AF9" s="234"/>
      <c r="AG9" s="171"/>
      <c r="AH9" s="171"/>
      <c r="AI9" s="164"/>
      <c r="AJ9" s="164"/>
      <c r="AK9" s="164"/>
      <c r="AL9" s="164"/>
      <c r="AM9" s="164"/>
      <c r="AN9" s="238"/>
      <c r="AO9" s="238"/>
      <c r="AP9" s="243"/>
      <c r="AQ9" s="243"/>
      <c r="AR9" s="243"/>
      <c r="AS9" s="172">
        <f t="shared" si="2"/>
        <v>0</v>
      </c>
      <c r="AU9" s="30">
        <f t="shared" si="3"/>
        <v>0</v>
      </c>
      <c r="AV9" s="30">
        <f t="shared" si="0"/>
        <v>0</v>
      </c>
      <c r="AW9" s="30">
        <f t="shared" si="0"/>
        <v>0</v>
      </c>
      <c r="AX9" s="30">
        <f t="shared" si="0"/>
        <v>0</v>
      </c>
      <c r="AY9" s="30">
        <f t="shared" si="0"/>
        <v>0</v>
      </c>
      <c r="AZ9" s="30">
        <f t="shared" si="0"/>
        <v>0</v>
      </c>
      <c r="BA9" s="30">
        <f t="shared" si="0"/>
        <v>0</v>
      </c>
      <c r="BB9" s="39">
        <f t="shared" si="1"/>
        <v>0</v>
      </c>
    </row>
    <row r="10" spans="1:162">
      <c r="A10" s="168">
        <v>2144</v>
      </c>
      <c r="B10" s="2">
        <v>140656</v>
      </c>
      <c r="C10" s="2" t="s">
        <v>215</v>
      </c>
      <c r="E10" s="164">
        <v>0</v>
      </c>
      <c r="F10" s="164"/>
      <c r="G10" s="164">
        <v>0</v>
      </c>
      <c r="H10" s="164">
        <v>0</v>
      </c>
      <c r="I10" s="164">
        <v>0</v>
      </c>
      <c r="J10" s="164">
        <v>0</v>
      </c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64"/>
      <c r="V10" s="164"/>
      <c r="W10" s="171"/>
      <c r="X10" s="164"/>
      <c r="Y10" s="164"/>
      <c r="Z10" s="164"/>
      <c r="AA10" s="164"/>
      <c r="AB10" s="171"/>
      <c r="AC10" s="171"/>
      <c r="AD10" s="171"/>
      <c r="AE10" s="171"/>
      <c r="AF10" s="234"/>
      <c r="AG10" s="171"/>
      <c r="AH10" s="171"/>
      <c r="AI10" s="164"/>
      <c r="AJ10" s="164"/>
      <c r="AK10" s="164"/>
      <c r="AL10" s="164"/>
      <c r="AM10" s="164"/>
      <c r="AN10" s="238"/>
      <c r="AO10" s="238"/>
      <c r="AP10" s="243"/>
      <c r="AQ10" s="243"/>
      <c r="AR10" s="243"/>
      <c r="AS10" s="172">
        <f t="shared" si="2"/>
        <v>0</v>
      </c>
      <c r="AU10" s="30">
        <f t="shared" si="3"/>
        <v>0</v>
      </c>
      <c r="AV10" s="30">
        <f t="shared" si="0"/>
        <v>0</v>
      </c>
      <c r="AW10" s="30">
        <f t="shared" si="0"/>
        <v>0</v>
      </c>
      <c r="AX10" s="30">
        <f t="shared" si="0"/>
        <v>0</v>
      </c>
      <c r="AY10" s="30">
        <f t="shared" si="0"/>
        <v>0</v>
      </c>
      <c r="AZ10" s="30">
        <f t="shared" si="0"/>
        <v>0</v>
      </c>
      <c r="BA10" s="30">
        <f t="shared" si="0"/>
        <v>0</v>
      </c>
      <c r="BB10" s="39">
        <f t="shared" si="1"/>
        <v>0</v>
      </c>
    </row>
    <row r="11" spans="1:162">
      <c r="A11" s="168">
        <v>4804</v>
      </c>
      <c r="B11" s="2">
        <v>146124</v>
      </c>
      <c r="C11" s="2" t="s">
        <v>216</v>
      </c>
      <c r="E11" s="164">
        <v>0</v>
      </c>
      <c r="F11" s="164"/>
      <c r="G11" s="164">
        <v>0</v>
      </c>
      <c r="H11" s="164">
        <v>0</v>
      </c>
      <c r="I11" s="164">
        <v>0</v>
      </c>
      <c r="J11" s="164">
        <v>0</v>
      </c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64"/>
      <c r="V11" s="164"/>
      <c r="W11" s="171"/>
      <c r="X11" s="164"/>
      <c r="Y11" s="164"/>
      <c r="Z11" s="164"/>
      <c r="AA11" s="164"/>
      <c r="AB11" s="171"/>
      <c r="AC11" s="171"/>
      <c r="AD11" s="171"/>
      <c r="AE11" s="171"/>
      <c r="AF11" s="234"/>
      <c r="AG11" s="171"/>
      <c r="AH11" s="171"/>
      <c r="AI11" s="164"/>
      <c r="AJ11" s="164"/>
      <c r="AK11" s="164"/>
      <c r="AL11" s="164"/>
      <c r="AM11" s="164"/>
      <c r="AN11" s="238"/>
      <c r="AO11" s="238"/>
      <c r="AP11" s="243"/>
      <c r="AQ11" s="243"/>
      <c r="AR11" s="243"/>
      <c r="AS11" s="172">
        <f t="shared" si="2"/>
        <v>0</v>
      </c>
      <c r="AU11" s="30">
        <f t="shared" si="3"/>
        <v>0</v>
      </c>
      <c r="AV11" s="30">
        <f t="shared" si="0"/>
        <v>0</v>
      </c>
      <c r="AW11" s="30">
        <f t="shared" si="0"/>
        <v>0</v>
      </c>
      <c r="AX11" s="30">
        <f t="shared" si="0"/>
        <v>0</v>
      </c>
      <c r="AY11" s="30">
        <f t="shared" si="0"/>
        <v>0</v>
      </c>
      <c r="AZ11" s="30">
        <f t="shared" si="0"/>
        <v>0</v>
      </c>
      <c r="BA11" s="30">
        <f t="shared" si="0"/>
        <v>0</v>
      </c>
      <c r="BB11" s="39">
        <f t="shared" si="1"/>
        <v>0</v>
      </c>
    </row>
    <row r="12" spans="1:162">
      <c r="A12" s="168">
        <v>4031</v>
      </c>
      <c r="B12" s="2">
        <v>145580</v>
      </c>
      <c r="C12" s="2" t="s">
        <v>217</v>
      </c>
      <c r="E12" s="164">
        <v>0</v>
      </c>
      <c r="F12" s="164"/>
      <c r="G12" s="164">
        <v>0</v>
      </c>
      <c r="H12" s="164">
        <v>0</v>
      </c>
      <c r="I12" s="164">
        <v>0</v>
      </c>
      <c r="J12" s="164">
        <v>0</v>
      </c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64"/>
      <c r="V12" s="164"/>
      <c r="W12" s="171"/>
      <c r="X12" s="164"/>
      <c r="Y12" s="164"/>
      <c r="Z12" s="164"/>
      <c r="AA12" s="164"/>
      <c r="AB12" s="171"/>
      <c r="AC12" s="171"/>
      <c r="AD12" s="171"/>
      <c r="AE12" s="171"/>
      <c r="AF12" s="234"/>
      <c r="AG12" s="171"/>
      <c r="AH12" s="171"/>
      <c r="AI12" s="164"/>
      <c r="AJ12" s="164"/>
      <c r="AK12" s="164"/>
      <c r="AL12" s="164"/>
      <c r="AM12" s="164"/>
      <c r="AN12" s="238"/>
      <c r="AO12" s="238"/>
      <c r="AP12" s="243"/>
      <c r="AQ12" s="243"/>
      <c r="AR12" s="243"/>
      <c r="AS12" s="172">
        <f t="shared" si="2"/>
        <v>0</v>
      </c>
      <c r="AU12" s="30">
        <f t="shared" si="3"/>
        <v>0</v>
      </c>
      <c r="AV12" s="30">
        <f t="shared" si="0"/>
        <v>0</v>
      </c>
      <c r="AW12" s="30">
        <f t="shared" si="0"/>
        <v>0</v>
      </c>
      <c r="AX12" s="30">
        <f t="shared" si="0"/>
        <v>0</v>
      </c>
      <c r="AY12" s="30">
        <f t="shared" si="0"/>
        <v>0</v>
      </c>
      <c r="AZ12" s="30">
        <f t="shared" si="0"/>
        <v>0</v>
      </c>
      <c r="BA12" s="30">
        <f t="shared" si="0"/>
        <v>0</v>
      </c>
      <c r="BB12" s="39">
        <f t="shared" si="1"/>
        <v>0</v>
      </c>
    </row>
    <row r="13" spans="1:162">
      <c r="A13" s="168">
        <v>4013</v>
      </c>
      <c r="B13" s="2">
        <v>140014</v>
      </c>
      <c r="C13" s="2" t="s">
        <v>218</v>
      </c>
      <c r="E13" s="164">
        <v>0</v>
      </c>
      <c r="F13" s="164"/>
      <c r="G13" s="164">
        <v>0</v>
      </c>
      <c r="H13" s="164">
        <v>0</v>
      </c>
      <c r="I13" s="164">
        <v>0</v>
      </c>
      <c r="J13" s="164">
        <v>0</v>
      </c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64"/>
      <c r="V13" s="164"/>
      <c r="W13" s="171"/>
      <c r="X13" s="164"/>
      <c r="Y13" s="164"/>
      <c r="Z13" s="164"/>
      <c r="AA13" s="164"/>
      <c r="AB13" s="171"/>
      <c r="AC13" s="171"/>
      <c r="AD13" s="171"/>
      <c r="AE13" s="171"/>
      <c r="AF13" s="234"/>
      <c r="AG13" s="171"/>
      <c r="AH13" s="171"/>
      <c r="AI13" s="164"/>
      <c r="AJ13" s="164"/>
      <c r="AK13" s="164"/>
      <c r="AL13" s="164"/>
      <c r="AM13" s="164"/>
      <c r="AN13" s="238"/>
      <c r="AO13" s="238"/>
      <c r="AP13" s="243"/>
      <c r="AQ13" s="243"/>
      <c r="AR13" s="243"/>
      <c r="AS13" s="172">
        <f t="shared" si="2"/>
        <v>0</v>
      </c>
      <c r="AU13" s="30">
        <f t="shared" si="3"/>
        <v>0</v>
      </c>
      <c r="AV13" s="30">
        <f t="shared" si="0"/>
        <v>0</v>
      </c>
      <c r="AW13" s="30">
        <f t="shared" si="0"/>
        <v>0</v>
      </c>
      <c r="AX13" s="30">
        <f t="shared" si="0"/>
        <v>0</v>
      </c>
      <c r="AY13" s="30">
        <f t="shared" si="0"/>
        <v>0</v>
      </c>
      <c r="AZ13" s="30">
        <f t="shared" si="0"/>
        <v>0</v>
      </c>
      <c r="BA13" s="30">
        <f t="shared" si="0"/>
        <v>0</v>
      </c>
      <c r="BB13" s="39">
        <f t="shared" si="1"/>
        <v>0</v>
      </c>
    </row>
    <row r="14" spans="1:162">
      <c r="A14" s="168">
        <v>4001</v>
      </c>
      <c r="B14" s="2">
        <v>137578</v>
      </c>
      <c r="C14" s="2" t="s">
        <v>219</v>
      </c>
      <c r="E14" s="164">
        <v>0</v>
      </c>
      <c r="F14" s="164"/>
      <c r="G14" s="164">
        <v>0</v>
      </c>
      <c r="H14" s="164">
        <v>0</v>
      </c>
      <c r="I14" s="164">
        <v>0</v>
      </c>
      <c r="J14" s="164">
        <v>0</v>
      </c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64"/>
      <c r="V14" s="164"/>
      <c r="W14" s="171"/>
      <c r="X14" s="164"/>
      <c r="Y14" s="164"/>
      <c r="Z14" s="164"/>
      <c r="AA14" s="164"/>
      <c r="AB14" s="171"/>
      <c r="AC14" s="171"/>
      <c r="AD14" s="171"/>
      <c r="AE14" s="171"/>
      <c r="AF14" s="234"/>
      <c r="AG14" s="171"/>
      <c r="AH14" s="171"/>
      <c r="AI14" s="164"/>
      <c r="AJ14" s="164"/>
      <c r="AK14" s="164"/>
      <c r="AL14" s="164"/>
      <c r="AM14" s="164"/>
      <c r="AN14" s="238"/>
      <c r="AO14" s="238"/>
      <c r="AP14" s="243"/>
      <c r="AQ14" s="243"/>
      <c r="AR14" s="243"/>
      <c r="AS14" s="172">
        <f t="shared" si="2"/>
        <v>0</v>
      </c>
      <c r="AU14" s="30">
        <f t="shared" si="3"/>
        <v>0</v>
      </c>
      <c r="AV14" s="30">
        <f t="shared" si="0"/>
        <v>0</v>
      </c>
      <c r="AW14" s="30">
        <f t="shared" si="0"/>
        <v>0</v>
      </c>
      <c r="AX14" s="30">
        <f t="shared" si="0"/>
        <v>0</v>
      </c>
      <c r="AY14" s="30">
        <f t="shared" si="0"/>
        <v>0</v>
      </c>
      <c r="AZ14" s="30">
        <f t="shared" si="0"/>
        <v>0</v>
      </c>
      <c r="BA14" s="30">
        <f t="shared" si="0"/>
        <v>0</v>
      </c>
      <c r="BB14" s="39">
        <f t="shared" si="1"/>
        <v>0</v>
      </c>
    </row>
    <row r="15" spans="1:162">
      <c r="A15" s="168">
        <v>6908</v>
      </c>
      <c r="B15" s="2">
        <v>135970</v>
      </c>
      <c r="C15" s="2" t="s">
        <v>220</v>
      </c>
      <c r="E15" s="164">
        <v>0</v>
      </c>
      <c r="F15" s="164"/>
      <c r="G15" s="164">
        <v>0</v>
      </c>
      <c r="H15" s="164">
        <v>0</v>
      </c>
      <c r="I15" s="164">
        <v>0</v>
      </c>
      <c r="J15" s="164">
        <v>0</v>
      </c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64"/>
      <c r="V15" s="164"/>
      <c r="W15" s="171"/>
      <c r="X15" s="164"/>
      <c r="Y15" s="164"/>
      <c r="Z15" s="164"/>
      <c r="AA15" s="164"/>
      <c r="AB15" s="171"/>
      <c r="AC15" s="171"/>
      <c r="AD15" s="171"/>
      <c r="AE15" s="171"/>
      <c r="AF15" s="234"/>
      <c r="AG15" s="171"/>
      <c r="AH15" s="171"/>
      <c r="AI15" s="164"/>
      <c r="AJ15" s="164"/>
      <c r="AK15" s="164"/>
      <c r="AL15" s="164"/>
      <c r="AM15" s="164"/>
      <c r="AN15" s="238"/>
      <c r="AO15" s="238"/>
      <c r="AP15" s="243"/>
      <c r="AQ15" s="243"/>
      <c r="AR15" s="243"/>
      <c r="AS15" s="172">
        <f t="shared" si="2"/>
        <v>0</v>
      </c>
      <c r="AU15" s="30">
        <f t="shared" si="3"/>
        <v>0</v>
      </c>
      <c r="AV15" s="30">
        <f t="shared" si="0"/>
        <v>0</v>
      </c>
      <c r="AW15" s="30">
        <f t="shared" si="0"/>
        <v>0</v>
      </c>
      <c r="AX15" s="30">
        <f t="shared" si="0"/>
        <v>0</v>
      </c>
      <c r="AY15" s="30">
        <f t="shared" si="0"/>
        <v>0</v>
      </c>
      <c r="AZ15" s="30">
        <f t="shared" si="0"/>
        <v>0</v>
      </c>
      <c r="BA15" s="30">
        <f t="shared" si="0"/>
        <v>0</v>
      </c>
      <c r="BB15" s="39">
        <f t="shared" si="1"/>
        <v>0</v>
      </c>
    </row>
    <row r="16" spans="1:162">
      <c r="A16" s="168">
        <v>2056</v>
      </c>
      <c r="B16" s="2">
        <v>138397</v>
      </c>
      <c r="C16" s="2" t="s">
        <v>221</v>
      </c>
      <c r="E16" s="164">
        <v>0</v>
      </c>
      <c r="F16" s="164"/>
      <c r="G16" s="164">
        <v>0</v>
      </c>
      <c r="H16" s="164">
        <v>0</v>
      </c>
      <c r="I16" s="164">
        <v>0</v>
      </c>
      <c r="J16" s="164">
        <v>0</v>
      </c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64"/>
      <c r="V16" s="164"/>
      <c r="W16" s="171"/>
      <c r="X16" s="164"/>
      <c r="Y16" s="164"/>
      <c r="Z16" s="164"/>
      <c r="AA16" s="164"/>
      <c r="AB16" s="171"/>
      <c r="AC16" s="171"/>
      <c r="AD16" s="171"/>
      <c r="AE16" s="171"/>
      <c r="AF16" s="234"/>
      <c r="AG16" s="171"/>
      <c r="AH16" s="171"/>
      <c r="AI16" s="164"/>
      <c r="AJ16" s="164"/>
      <c r="AK16" s="164"/>
      <c r="AL16" s="164"/>
      <c r="AM16" s="164"/>
      <c r="AN16" s="238"/>
      <c r="AO16" s="238"/>
      <c r="AP16" s="243"/>
      <c r="AQ16" s="243"/>
      <c r="AR16" s="243"/>
      <c r="AS16" s="172">
        <f t="shared" si="2"/>
        <v>0</v>
      </c>
      <c r="AU16" s="30">
        <f t="shared" si="3"/>
        <v>0</v>
      </c>
      <c r="AV16" s="30">
        <f t="shared" si="0"/>
        <v>0</v>
      </c>
      <c r="AW16" s="30">
        <f t="shared" si="0"/>
        <v>0</v>
      </c>
      <c r="AX16" s="30">
        <f t="shared" si="0"/>
        <v>0</v>
      </c>
      <c r="AY16" s="30">
        <f t="shared" si="0"/>
        <v>0</v>
      </c>
      <c r="AZ16" s="30">
        <f t="shared" si="0"/>
        <v>0</v>
      </c>
      <c r="BA16" s="30">
        <f t="shared" si="0"/>
        <v>0</v>
      </c>
      <c r="BB16" s="39">
        <f t="shared" si="1"/>
        <v>0</v>
      </c>
    </row>
    <row r="17" spans="1:54">
      <c r="A17" s="168">
        <v>4019</v>
      </c>
      <c r="B17" s="2">
        <v>141752</v>
      </c>
      <c r="C17" s="2" t="s">
        <v>222</v>
      </c>
      <c r="E17" s="164">
        <v>0</v>
      </c>
      <c r="F17" s="164"/>
      <c r="G17" s="164">
        <v>0</v>
      </c>
      <c r="H17" s="164">
        <v>0</v>
      </c>
      <c r="I17" s="164">
        <v>0</v>
      </c>
      <c r="J17" s="164">
        <v>0</v>
      </c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64"/>
      <c r="V17" s="164"/>
      <c r="W17" s="171"/>
      <c r="X17" s="164"/>
      <c r="Y17" s="164"/>
      <c r="Z17" s="164"/>
      <c r="AA17" s="164"/>
      <c r="AB17" s="171"/>
      <c r="AC17" s="171"/>
      <c r="AD17" s="171"/>
      <c r="AE17" s="171"/>
      <c r="AF17" s="234"/>
      <c r="AG17" s="171"/>
      <c r="AH17" s="171"/>
      <c r="AI17" s="164"/>
      <c r="AJ17" s="164"/>
      <c r="AK17" s="164"/>
      <c r="AL17" s="164"/>
      <c r="AM17" s="164"/>
      <c r="AN17" s="238"/>
      <c r="AO17" s="238"/>
      <c r="AP17" s="243"/>
      <c r="AQ17" s="243"/>
      <c r="AR17" s="243"/>
      <c r="AS17" s="172">
        <f t="shared" si="2"/>
        <v>0</v>
      </c>
      <c r="AU17" s="30">
        <f t="shared" si="3"/>
        <v>0</v>
      </c>
      <c r="AV17" s="30">
        <f t="shared" si="0"/>
        <v>0</v>
      </c>
      <c r="AW17" s="30">
        <f t="shared" si="0"/>
        <v>0</v>
      </c>
      <c r="AX17" s="30">
        <f t="shared" si="0"/>
        <v>0</v>
      </c>
      <c r="AY17" s="30">
        <f t="shared" si="0"/>
        <v>0</v>
      </c>
      <c r="AZ17" s="30">
        <f t="shared" si="0"/>
        <v>0</v>
      </c>
      <c r="BA17" s="30">
        <f t="shared" si="0"/>
        <v>0</v>
      </c>
      <c r="BB17" s="39">
        <f t="shared" si="1"/>
        <v>0</v>
      </c>
    </row>
    <row r="18" spans="1:54">
      <c r="A18" s="168">
        <v>4220</v>
      </c>
      <c r="B18" s="2">
        <v>136882</v>
      </c>
      <c r="C18" s="2" t="s">
        <v>223</v>
      </c>
      <c r="E18" s="164">
        <v>0</v>
      </c>
      <c r="F18" s="164"/>
      <c r="G18" s="164">
        <v>0</v>
      </c>
      <c r="H18" s="164">
        <v>0</v>
      </c>
      <c r="I18" s="164">
        <v>0</v>
      </c>
      <c r="J18" s="164">
        <v>0</v>
      </c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64"/>
      <c r="V18" s="164"/>
      <c r="W18" s="171"/>
      <c r="X18" s="164"/>
      <c r="Y18" s="164"/>
      <c r="Z18" s="164"/>
      <c r="AA18" s="164"/>
      <c r="AB18" s="171"/>
      <c r="AC18" s="171"/>
      <c r="AD18" s="171"/>
      <c r="AE18" s="171"/>
      <c r="AF18" s="234"/>
      <c r="AG18" s="171"/>
      <c r="AH18" s="171"/>
      <c r="AI18" s="164"/>
      <c r="AJ18" s="164" t="s">
        <v>493</v>
      </c>
      <c r="AK18" s="164"/>
      <c r="AL18" s="164"/>
      <c r="AM18" s="164"/>
      <c r="AN18" s="238"/>
      <c r="AO18" s="238"/>
      <c r="AP18" s="243"/>
      <c r="AQ18" s="243"/>
      <c r="AR18" s="243"/>
      <c r="AS18" s="172">
        <f t="shared" si="2"/>
        <v>0</v>
      </c>
      <c r="AU18" s="30">
        <f t="shared" si="3"/>
        <v>0</v>
      </c>
      <c r="AV18" s="30">
        <f t="shared" si="0"/>
        <v>0</v>
      </c>
      <c r="AW18" s="30">
        <f t="shared" si="0"/>
        <v>0</v>
      </c>
      <c r="AX18" s="30">
        <f t="shared" si="0"/>
        <v>0</v>
      </c>
      <c r="AY18" s="30">
        <f t="shared" si="0"/>
        <v>0</v>
      </c>
      <c r="AZ18" s="30">
        <f t="shared" si="0"/>
        <v>0</v>
      </c>
      <c r="BA18" s="30">
        <f t="shared" si="0"/>
        <v>0</v>
      </c>
      <c r="BB18" s="39">
        <f t="shared" si="1"/>
        <v>0</v>
      </c>
    </row>
    <row r="19" spans="1:54">
      <c r="A19" s="168">
        <v>2443</v>
      </c>
      <c r="B19" s="2">
        <v>142686</v>
      </c>
      <c r="C19" s="2" t="s">
        <v>224</v>
      </c>
      <c r="E19" s="164">
        <v>0</v>
      </c>
      <c r="F19" s="164"/>
      <c r="G19" s="164">
        <v>0</v>
      </c>
      <c r="H19" s="164">
        <v>0</v>
      </c>
      <c r="I19" s="164">
        <v>0</v>
      </c>
      <c r="J19" s="164">
        <v>0</v>
      </c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64"/>
      <c r="V19" s="164"/>
      <c r="W19" s="171"/>
      <c r="X19" s="164"/>
      <c r="Y19" s="164"/>
      <c r="Z19" s="164"/>
      <c r="AA19" s="164"/>
      <c r="AB19" s="171"/>
      <c r="AC19" s="171"/>
      <c r="AD19" s="171"/>
      <c r="AE19" s="171"/>
      <c r="AF19" s="234"/>
      <c r="AG19" s="171"/>
      <c r="AH19" s="171"/>
      <c r="AI19" s="164"/>
      <c r="AJ19" s="164"/>
      <c r="AK19" s="164"/>
      <c r="AL19" s="164"/>
      <c r="AM19" s="164"/>
      <c r="AN19" s="238"/>
      <c r="AO19" s="238"/>
      <c r="AP19" s="243"/>
      <c r="AQ19" s="243"/>
      <c r="AR19" s="243"/>
      <c r="AS19" s="172">
        <f t="shared" si="2"/>
        <v>0</v>
      </c>
      <c r="AU19" s="30">
        <f t="shared" si="3"/>
        <v>0</v>
      </c>
      <c r="AV19" s="30">
        <f t="shared" si="0"/>
        <v>0</v>
      </c>
      <c r="AW19" s="30">
        <f t="shared" si="0"/>
        <v>0</v>
      </c>
      <c r="AX19" s="30">
        <f t="shared" si="0"/>
        <v>0</v>
      </c>
      <c r="AY19" s="30">
        <f t="shared" si="0"/>
        <v>0</v>
      </c>
      <c r="AZ19" s="30">
        <f t="shared" si="0"/>
        <v>0</v>
      </c>
      <c r="BA19" s="30">
        <f t="shared" si="0"/>
        <v>0</v>
      </c>
      <c r="BB19" s="39">
        <f t="shared" si="1"/>
        <v>0</v>
      </c>
    </row>
    <row r="20" spans="1:54">
      <c r="A20" s="168">
        <v>4003</v>
      </c>
      <c r="B20" s="2">
        <v>138222</v>
      </c>
      <c r="C20" s="2" t="s">
        <v>225</v>
      </c>
      <c r="E20" s="164">
        <v>0</v>
      </c>
      <c r="F20" s="164"/>
      <c r="G20" s="164">
        <v>0</v>
      </c>
      <c r="H20" s="164">
        <v>0</v>
      </c>
      <c r="I20" s="164">
        <v>0</v>
      </c>
      <c r="J20" s="164">
        <v>0</v>
      </c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64"/>
      <c r="V20" s="164"/>
      <c r="W20" s="171"/>
      <c r="X20" s="164"/>
      <c r="Y20" s="164"/>
      <c r="Z20" s="164"/>
      <c r="AA20" s="164"/>
      <c r="AB20" s="171"/>
      <c r="AC20" s="171"/>
      <c r="AD20" s="171"/>
      <c r="AE20" s="171"/>
      <c r="AF20" s="234"/>
      <c r="AG20" s="171"/>
      <c r="AH20" s="171"/>
      <c r="AI20" s="164"/>
      <c r="AJ20" s="164"/>
      <c r="AK20" s="164"/>
      <c r="AL20" s="164"/>
      <c r="AM20" s="164"/>
      <c r="AN20" s="238"/>
      <c r="AO20" s="238"/>
      <c r="AP20" s="243"/>
      <c r="AQ20" s="243"/>
      <c r="AR20" s="243"/>
      <c r="AS20" s="172">
        <f t="shared" si="2"/>
        <v>0</v>
      </c>
      <c r="AU20" s="30">
        <f t="shared" si="3"/>
        <v>0</v>
      </c>
      <c r="AV20" s="30">
        <f t="shared" si="0"/>
        <v>0</v>
      </c>
      <c r="AW20" s="30">
        <f t="shared" si="0"/>
        <v>0</v>
      </c>
      <c r="AX20" s="30">
        <f t="shared" si="0"/>
        <v>0</v>
      </c>
      <c r="AY20" s="30">
        <f t="shared" si="0"/>
        <v>0</v>
      </c>
      <c r="AZ20" s="30">
        <f t="shared" si="0"/>
        <v>0</v>
      </c>
      <c r="BA20" s="30">
        <f t="shared" si="0"/>
        <v>0</v>
      </c>
      <c r="BB20" s="39">
        <f t="shared" si="1"/>
        <v>0</v>
      </c>
    </row>
    <row r="21" spans="1:54">
      <c r="A21" s="168">
        <v>3412</v>
      </c>
      <c r="B21" s="2">
        <v>143437</v>
      </c>
      <c r="C21" s="2" t="s">
        <v>226</v>
      </c>
      <c r="E21" s="164">
        <v>0</v>
      </c>
      <c r="F21" s="164"/>
      <c r="G21" s="164">
        <v>0</v>
      </c>
      <c r="H21" s="164">
        <v>0</v>
      </c>
      <c r="I21" s="164">
        <v>0</v>
      </c>
      <c r="J21" s="164">
        <v>0</v>
      </c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64"/>
      <c r="V21" s="164"/>
      <c r="W21" s="171"/>
      <c r="X21" s="164"/>
      <c r="Y21" s="164"/>
      <c r="Z21" s="164"/>
      <c r="AA21" s="164"/>
      <c r="AB21" s="171"/>
      <c r="AC21" s="171"/>
      <c r="AD21" s="171"/>
      <c r="AE21" s="171"/>
      <c r="AF21" s="234"/>
      <c r="AG21" s="171"/>
      <c r="AH21" s="171"/>
      <c r="AI21" s="164"/>
      <c r="AJ21" s="164"/>
      <c r="AK21" s="164"/>
      <c r="AL21" s="164"/>
      <c r="AM21" s="164"/>
      <c r="AN21" s="238"/>
      <c r="AO21" s="238"/>
      <c r="AP21" s="243"/>
      <c r="AQ21" s="243"/>
      <c r="AR21" s="243"/>
      <c r="AS21" s="172">
        <f t="shared" si="2"/>
        <v>0</v>
      </c>
      <c r="AU21" s="30">
        <f t="shared" si="3"/>
        <v>0</v>
      </c>
      <c r="AV21" s="30">
        <f t="shared" si="0"/>
        <v>0</v>
      </c>
      <c r="AW21" s="30">
        <f t="shared" si="0"/>
        <v>0</v>
      </c>
      <c r="AX21" s="30">
        <f t="shared" si="0"/>
        <v>0</v>
      </c>
      <c r="AY21" s="30">
        <f t="shared" si="0"/>
        <v>0</v>
      </c>
      <c r="AZ21" s="30">
        <f t="shared" si="0"/>
        <v>0</v>
      </c>
      <c r="BA21" s="30">
        <f t="shared" si="0"/>
        <v>0</v>
      </c>
      <c r="BB21" s="39">
        <f t="shared" si="1"/>
        <v>0</v>
      </c>
    </row>
    <row r="22" spans="1:54">
      <c r="A22" s="168">
        <v>2450</v>
      </c>
      <c r="B22" s="2">
        <v>138694</v>
      </c>
      <c r="C22" s="2" t="s">
        <v>227</v>
      </c>
      <c r="E22" s="164">
        <v>0</v>
      </c>
      <c r="F22" s="164"/>
      <c r="G22" s="164">
        <v>0</v>
      </c>
      <c r="H22" s="164">
        <v>0</v>
      </c>
      <c r="I22" s="164">
        <v>0</v>
      </c>
      <c r="J22" s="164">
        <v>0</v>
      </c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64"/>
      <c r="V22" s="164"/>
      <c r="W22" s="171"/>
      <c r="X22" s="164"/>
      <c r="Y22" s="164"/>
      <c r="Z22" s="164"/>
      <c r="AA22" s="164"/>
      <c r="AB22" s="171"/>
      <c r="AC22" s="171"/>
      <c r="AD22" s="171"/>
      <c r="AE22" s="171"/>
      <c r="AF22" s="234"/>
      <c r="AG22" s="171"/>
      <c r="AH22" s="171"/>
      <c r="AI22" s="164"/>
      <c r="AJ22" s="164"/>
      <c r="AK22" s="164"/>
      <c r="AL22" s="164"/>
      <c r="AM22" s="164"/>
      <c r="AN22" s="238"/>
      <c r="AO22" s="238"/>
      <c r="AP22" s="243"/>
      <c r="AQ22" s="243"/>
      <c r="AR22" s="243"/>
      <c r="AS22" s="172">
        <f t="shared" si="2"/>
        <v>0</v>
      </c>
      <c r="AU22" s="30">
        <f t="shared" si="3"/>
        <v>0</v>
      </c>
      <c r="AV22" s="30">
        <f t="shared" si="0"/>
        <v>0</v>
      </c>
      <c r="AW22" s="30">
        <f t="shared" si="0"/>
        <v>0</v>
      </c>
      <c r="AX22" s="30">
        <f t="shared" si="0"/>
        <v>0</v>
      </c>
      <c r="AY22" s="30">
        <f t="shared" si="0"/>
        <v>0</v>
      </c>
      <c r="AZ22" s="30">
        <f t="shared" si="0"/>
        <v>0</v>
      </c>
      <c r="BA22" s="30">
        <f t="shared" si="0"/>
        <v>0</v>
      </c>
      <c r="BB22" s="39">
        <f t="shared" si="1"/>
        <v>0</v>
      </c>
    </row>
    <row r="23" spans="1:54">
      <c r="A23" s="168">
        <v>4108</v>
      </c>
      <c r="B23" s="2">
        <v>136589</v>
      </c>
      <c r="C23" s="2" t="s">
        <v>228</v>
      </c>
      <c r="E23" s="164">
        <v>0</v>
      </c>
      <c r="F23" s="164"/>
      <c r="G23" s="164">
        <v>0</v>
      </c>
      <c r="H23" s="164">
        <v>0</v>
      </c>
      <c r="I23" s="164">
        <v>0</v>
      </c>
      <c r="J23" s="164">
        <v>0</v>
      </c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64"/>
      <c r="V23" s="164"/>
      <c r="W23" s="171"/>
      <c r="X23" s="164"/>
      <c r="Y23" s="164"/>
      <c r="Z23" s="164"/>
      <c r="AA23" s="164"/>
      <c r="AB23" s="171"/>
      <c r="AC23" s="171"/>
      <c r="AD23" s="171"/>
      <c r="AE23" s="171"/>
      <c r="AF23" s="234"/>
      <c r="AG23" s="171"/>
      <c r="AH23" s="171"/>
      <c r="AI23" s="164"/>
      <c r="AJ23" s="164"/>
      <c r="AK23" s="164"/>
      <c r="AL23" s="164"/>
      <c r="AM23" s="164"/>
      <c r="AN23" s="238"/>
      <c r="AO23" s="238"/>
      <c r="AP23" s="243"/>
      <c r="AQ23" s="243"/>
      <c r="AR23" s="243"/>
      <c r="AS23" s="172">
        <f t="shared" si="2"/>
        <v>0</v>
      </c>
      <c r="AU23" s="30">
        <f t="shared" si="3"/>
        <v>0</v>
      </c>
      <c r="AV23" s="30">
        <f t="shared" si="3"/>
        <v>0</v>
      </c>
      <c r="AW23" s="30">
        <f t="shared" si="3"/>
        <v>0</v>
      </c>
      <c r="AX23" s="30">
        <f t="shared" si="3"/>
        <v>0</v>
      </c>
      <c r="AY23" s="30">
        <f t="shared" si="3"/>
        <v>0</v>
      </c>
      <c r="AZ23" s="30">
        <f t="shared" si="3"/>
        <v>0</v>
      </c>
      <c r="BA23" s="30">
        <f t="shared" si="3"/>
        <v>0</v>
      </c>
      <c r="BB23" s="39">
        <f t="shared" si="1"/>
        <v>0</v>
      </c>
    </row>
    <row r="24" spans="1:54">
      <c r="A24" s="168">
        <v>2072</v>
      </c>
      <c r="B24" s="2">
        <v>138888</v>
      </c>
      <c r="C24" s="2" t="s">
        <v>229</v>
      </c>
      <c r="E24" s="164">
        <v>0</v>
      </c>
      <c r="F24" s="164"/>
      <c r="G24" s="164">
        <v>0</v>
      </c>
      <c r="H24" s="164">
        <v>0</v>
      </c>
      <c r="I24" s="164">
        <v>0</v>
      </c>
      <c r="J24" s="164">
        <v>0</v>
      </c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64"/>
      <c r="V24" s="164"/>
      <c r="W24" s="171"/>
      <c r="X24" s="164"/>
      <c r="Y24" s="164"/>
      <c r="Z24" s="164"/>
      <c r="AA24" s="164"/>
      <c r="AB24" s="171"/>
      <c r="AC24" s="171"/>
      <c r="AD24" s="171"/>
      <c r="AE24" s="171"/>
      <c r="AF24" s="234"/>
      <c r="AG24" s="171"/>
      <c r="AH24" s="171"/>
      <c r="AI24" s="164"/>
      <c r="AJ24" s="164"/>
      <c r="AK24" s="164"/>
      <c r="AL24" s="164"/>
      <c r="AM24" s="164"/>
      <c r="AN24" s="238"/>
      <c r="AO24" s="238"/>
      <c r="AP24" s="243"/>
      <c r="AQ24" s="243"/>
      <c r="AR24" s="243"/>
      <c r="AS24" s="172">
        <f t="shared" si="2"/>
        <v>0</v>
      </c>
      <c r="AU24" s="30">
        <f t="shared" si="3"/>
        <v>0</v>
      </c>
      <c r="AV24" s="30">
        <f t="shared" si="3"/>
        <v>0</v>
      </c>
      <c r="AW24" s="30">
        <f t="shared" si="3"/>
        <v>0</v>
      </c>
      <c r="AX24" s="30">
        <f t="shared" si="3"/>
        <v>0</v>
      </c>
      <c r="AY24" s="30">
        <f t="shared" si="3"/>
        <v>0</v>
      </c>
      <c r="AZ24" s="30">
        <f t="shared" si="3"/>
        <v>0</v>
      </c>
      <c r="BA24" s="30">
        <f t="shared" si="3"/>
        <v>0</v>
      </c>
      <c r="BB24" s="39">
        <f t="shared" si="1"/>
        <v>0</v>
      </c>
    </row>
    <row r="25" spans="1:54">
      <c r="A25" s="168">
        <v>2211</v>
      </c>
      <c r="B25" s="2">
        <v>150054</v>
      </c>
      <c r="C25" s="2" t="s">
        <v>230</v>
      </c>
      <c r="E25" s="164">
        <v>0</v>
      </c>
      <c r="F25" s="164"/>
      <c r="G25" s="164">
        <v>0</v>
      </c>
      <c r="H25" s="164">
        <v>0</v>
      </c>
      <c r="I25" s="164">
        <v>0</v>
      </c>
      <c r="J25" s="164">
        <v>0</v>
      </c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64"/>
      <c r="V25" s="164"/>
      <c r="W25" s="171"/>
      <c r="X25" s="164"/>
      <c r="Y25" s="164"/>
      <c r="Z25" s="164"/>
      <c r="AA25" s="164"/>
      <c r="AB25" s="171"/>
      <c r="AC25" s="171"/>
      <c r="AD25" s="171"/>
      <c r="AE25" s="171"/>
      <c r="AF25" s="234"/>
      <c r="AG25" s="171"/>
      <c r="AH25" s="171"/>
      <c r="AI25" s="164"/>
      <c r="AJ25" s="164"/>
      <c r="AK25" s="164"/>
      <c r="AL25" s="164"/>
      <c r="AM25" s="164"/>
      <c r="AN25" s="238"/>
      <c r="AO25" s="238"/>
      <c r="AP25" s="243"/>
      <c r="AQ25" s="243"/>
      <c r="AR25" s="243"/>
      <c r="AS25" s="172">
        <f t="shared" si="2"/>
        <v>0</v>
      </c>
      <c r="AU25" s="30">
        <f t="shared" si="3"/>
        <v>0</v>
      </c>
      <c r="AV25" s="30">
        <f t="shared" si="3"/>
        <v>0</v>
      </c>
      <c r="AW25" s="30">
        <f t="shared" si="3"/>
        <v>0</v>
      </c>
      <c r="AX25" s="30">
        <f t="shared" si="3"/>
        <v>0</v>
      </c>
      <c r="AY25" s="30">
        <f t="shared" si="3"/>
        <v>0</v>
      </c>
      <c r="AZ25" s="30">
        <f t="shared" si="3"/>
        <v>0</v>
      </c>
      <c r="BA25" s="30">
        <f t="shared" si="3"/>
        <v>0</v>
      </c>
      <c r="BB25" s="39">
        <f t="shared" si="1"/>
        <v>0</v>
      </c>
    </row>
    <row r="26" spans="1:54">
      <c r="A26" s="168">
        <v>2186</v>
      </c>
      <c r="B26" s="2">
        <v>146075</v>
      </c>
      <c r="C26" s="2" t="s">
        <v>231</v>
      </c>
      <c r="E26" s="164">
        <v>0</v>
      </c>
      <c r="F26" s="164"/>
      <c r="G26" s="164">
        <v>0</v>
      </c>
      <c r="H26" s="164">
        <v>0</v>
      </c>
      <c r="I26" s="164">
        <v>0</v>
      </c>
      <c r="J26" s="164">
        <v>0</v>
      </c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64"/>
      <c r="V26" s="164"/>
      <c r="W26" s="171"/>
      <c r="X26" s="164"/>
      <c r="Y26" s="164"/>
      <c r="Z26" s="164"/>
      <c r="AA26" s="164"/>
      <c r="AB26" s="171"/>
      <c r="AC26" s="171"/>
      <c r="AD26" s="171"/>
      <c r="AE26" s="171"/>
      <c r="AF26" s="234"/>
      <c r="AG26" s="171"/>
      <c r="AH26" s="171"/>
      <c r="AI26" s="164"/>
      <c r="AJ26" s="164"/>
      <c r="AK26" s="164"/>
      <c r="AL26" s="164"/>
      <c r="AM26" s="164"/>
      <c r="AN26" s="238"/>
      <c r="AO26" s="238"/>
      <c r="AP26" s="243"/>
      <c r="AQ26" s="243"/>
      <c r="AR26" s="243"/>
      <c r="AS26" s="172">
        <f t="shared" si="2"/>
        <v>0</v>
      </c>
      <c r="AU26" s="30">
        <f t="shared" si="3"/>
        <v>0</v>
      </c>
      <c r="AV26" s="30">
        <f t="shared" si="3"/>
        <v>0</v>
      </c>
      <c r="AW26" s="30">
        <f t="shared" si="3"/>
        <v>0</v>
      </c>
      <c r="AX26" s="30">
        <f t="shared" si="3"/>
        <v>0</v>
      </c>
      <c r="AY26" s="30">
        <f t="shared" si="3"/>
        <v>0</v>
      </c>
      <c r="AZ26" s="30">
        <f t="shared" si="3"/>
        <v>0</v>
      </c>
      <c r="BA26" s="30">
        <f t="shared" si="3"/>
        <v>0</v>
      </c>
      <c r="BB26" s="39">
        <f t="shared" si="1"/>
        <v>0</v>
      </c>
    </row>
    <row r="27" spans="1:54">
      <c r="A27" s="168">
        <v>4660</v>
      </c>
      <c r="B27" s="2">
        <v>137988</v>
      </c>
      <c r="C27" s="2" t="s">
        <v>232</v>
      </c>
      <c r="E27" s="164">
        <v>0</v>
      </c>
      <c r="F27" s="164"/>
      <c r="G27" s="164">
        <v>0</v>
      </c>
      <c r="H27" s="164">
        <v>0</v>
      </c>
      <c r="I27" s="164">
        <v>0</v>
      </c>
      <c r="J27" s="164">
        <v>0</v>
      </c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64"/>
      <c r="V27" s="164"/>
      <c r="W27" s="171"/>
      <c r="X27" s="164"/>
      <c r="Y27" s="164"/>
      <c r="Z27" s="164"/>
      <c r="AA27" s="164"/>
      <c r="AB27" s="171"/>
      <c r="AC27" s="171"/>
      <c r="AD27" s="171"/>
      <c r="AE27" s="171"/>
      <c r="AF27" s="234"/>
      <c r="AG27" s="171"/>
      <c r="AH27" s="171"/>
      <c r="AI27" s="164"/>
      <c r="AJ27" s="164"/>
      <c r="AK27" s="164"/>
      <c r="AL27" s="164"/>
      <c r="AM27" s="164"/>
      <c r="AN27" s="238"/>
      <c r="AO27" s="238"/>
      <c r="AP27" s="243"/>
      <c r="AQ27" s="243"/>
      <c r="AR27" s="243"/>
      <c r="AS27" s="172">
        <f t="shared" si="2"/>
        <v>0</v>
      </c>
      <c r="AU27" s="30">
        <f t="shared" si="3"/>
        <v>0</v>
      </c>
      <c r="AV27" s="30">
        <f t="shared" si="3"/>
        <v>0</v>
      </c>
      <c r="AW27" s="30">
        <f t="shared" si="3"/>
        <v>0</v>
      </c>
      <c r="AX27" s="30">
        <f t="shared" si="3"/>
        <v>0</v>
      </c>
      <c r="AY27" s="30">
        <f t="shared" si="3"/>
        <v>0</v>
      </c>
      <c r="AZ27" s="30">
        <f t="shared" si="3"/>
        <v>0</v>
      </c>
      <c r="BA27" s="30">
        <f t="shared" si="3"/>
        <v>0</v>
      </c>
      <c r="BB27" s="39">
        <f t="shared" si="1"/>
        <v>0</v>
      </c>
    </row>
    <row r="28" spans="1:54">
      <c r="A28" s="168">
        <v>4661</v>
      </c>
      <c r="B28" s="2">
        <v>140524</v>
      </c>
      <c r="C28" s="2" t="s">
        <v>233</v>
      </c>
      <c r="E28" s="164">
        <v>0</v>
      </c>
      <c r="F28" s="164"/>
      <c r="G28" s="164">
        <v>0</v>
      </c>
      <c r="H28" s="164">
        <v>0</v>
      </c>
      <c r="I28" s="164">
        <v>0</v>
      </c>
      <c r="J28" s="164">
        <v>0</v>
      </c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64"/>
      <c r="V28" s="164"/>
      <c r="W28" s="171"/>
      <c r="X28" s="164"/>
      <c r="Y28" s="164"/>
      <c r="Z28" s="164"/>
      <c r="AA28" s="164"/>
      <c r="AB28" s="171"/>
      <c r="AC28" s="171"/>
      <c r="AD28" s="171"/>
      <c r="AE28" s="171"/>
      <c r="AF28" s="234"/>
      <c r="AG28" s="171"/>
      <c r="AH28" s="171"/>
      <c r="AI28" s="164"/>
      <c r="AJ28" s="164"/>
      <c r="AK28" s="164"/>
      <c r="AL28" s="164"/>
      <c r="AM28" s="164"/>
      <c r="AN28" s="238"/>
      <c r="AO28" s="238"/>
      <c r="AP28" s="243"/>
      <c r="AQ28" s="243"/>
      <c r="AR28" s="243"/>
      <c r="AS28" s="172">
        <f t="shared" si="2"/>
        <v>0</v>
      </c>
      <c r="AU28" s="30">
        <f t="shared" si="3"/>
        <v>0</v>
      </c>
      <c r="AV28" s="30">
        <f t="shared" si="3"/>
        <v>0</v>
      </c>
      <c r="AW28" s="30">
        <f t="shared" si="3"/>
        <v>0</v>
      </c>
      <c r="AX28" s="30">
        <f t="shared" si="3"/>
        <v>0</v>
      </c>
      <c r="AY28" s="30">
        <f t="shared" si="3"/>
        <v>0</v>
      </c>
      <c r="AZ28" s="30">
        <f t="shared" si="3"/>
        <v>0</v>
      </c>
      <c r="BA28" s="30">
        <f t="shared" si="3"/>
        <v>0</v>
      </c>
      <c r="BB28" s="39">
        <f t="shared" si="1"/>
        <v>0</v>
      </c>
    </row>
    <row r="29" spans="1:54">
      <c r="A29" s="168">
        <v>4000</v>
      </c>
      <c r="B29" s="2">
        <v>136944</v>
      </c>
      <c r="C29" s="2" t="s">
        <v>234</v>
      </c>
      <c r="E29" s="164">
        <v>0</v>
      </c>
      <c r="F29" s="164"/>
      <c r="G29" s="164">
        <v>0</v>
      </c>
      <c r="H29" s="164">
        <v>0</v>
      </c>
      <c r="I29" s="164">
        <v>0</v>
      </c>
      <c r="J29" s="164">
        <v>0</v>
      </c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64"/>
      <c r="V29" s="164"/>
      <c r="W29" s="171"/>
      <c r="X29" s="164"/>
      <c r="Y29" s="164"/>
      <c r="Z29" s="164"/>
      <c r="AA29" s="164"/>
      <c r="AB29" s="171"/>
      <c r="AC29" s="171"/>
      <c r="AD29" s="171"/>
      <c r="AE29" s="171"/>
      <c r="AF29" s="234"/>
      <c r="AG29" s="171"/>
      <c r="AH29" s="171"/>
      <c r="AI29" s="164"/>
      <c r="AJ29" s="164"/>
      <c r="AK29" s="164"/>
      <c r="AL29" s="164"/>
      <c r="AM29" s="164"/>
      <c r="AN29" s="238"/>
      <c r="AO29" s="238"/>
      <c r="AP29" s="243"/>
      <c r="AQ29" s="243"/>
      <c r="AR29" s="243"/>
      <c r="AS29" s="172">
        <f t="shared" si="2"/>
        <v>0</v>
      </c>
      <c r="AU29" s="30">
        <f t="shared" si="3"/>
        <v>0</v>
      </c>
      <c r="AV29" s="30">
        <f t="shared" si="3"/>
        <v>0</v>
      </c>
      <c r="AW29" s="30">
        <f t="shared" si="3"/>
        <v>0</v>
      </c>
      <c r="AX29" s="30">
        <f t="shared" si="3"/>
        <v>0</v>
      </c>
      <c r="AY29" s="30">
        <f t="shared" si="3"/>
        <v>0</v>
      </c>
      <c r="AZ29" s="30">
        <f t="shared" si="3"/>
        <v>0</v>
      </c>
      <c r="BA29" s="30">
        <f t="shared" si="3"/>
        <v>0</v>
      </c>
      <c r="BB29" s="39">
        <f t="shared" si="1"/>
        <v>0</v>
      </c>
    </row>
    <row r="30" spans="1:54">
      <c r="A30" s="168">
        <v>4044</v>
      </c>
      <c r="B30" s="2">
        <v>149042</v>
      </c>
      <c r="C30" s="2" t="s">
        <v>235</v>
      </c>
      <c r="E30" s="164">
        <v>0</v>
      </c>
      <c r="F30" s="164"/>
      <c r="G30" s="164">
        <v>0</v>
      </c>
      <c r="H30" s="164">
        <v>0</v>
      </c>
      <c r="I30" s="164">
        <v>0</v>
      </c>
      <c r="J30" s="164">
        <v>0</v>
      </c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64"/>
      <c r="V30" s="164"/>
      <c r="W30" s="171"/>
      <c r="X30" s="164"/>
      <c r="Y30" s="164"/>
      <c r="Z30" s="164"/>
      <c r="AA30" s="164"/>
      <c r="AB30" s="171"/>
      <c r="AC30" s="171"/>
      <c r="AD30" s="171"/>
      <c r="AE30" s="171"/>
      <c r="AF30" s="234"/>
      <c r="AG30" s="171"/>
      <c r="AH30" s="171"/>
      <c r="AI30" s="164"/>
      <c r="AJ30" s="164"/>
      <c r="AK30" s="164"/>
      <c r="AL30" s="164"/>
      <c r="AM30" s="164"/>
      <c r="AN30" s="238"/>
      <c r="AO30" s="238"/>
      <c r="AP30" s="243"/>
      <c r="AQ30" s="243"/>
      <c r="AR30" s="243"/>
      <c r="AS30" s="172">
        <f t="shared" si="2"/>
        <v>0</v>
      </c>
      <c r="AU30" s="30">
        <f t="shared" si="3"/>
        <v>0</v>
      </c>
      <c r="AV30" s="30">
        <f t="shared" si="3"/>
        <v>0</v>
      </c>
      <c r="AW30" s="30">
        <f t="shared" si="3"/>
        <v>0</v>
      </c>
      <c r="AX30" s="30">
        <f t="shared" si="3"/>
        <v>0</v>
      </c>
      <c r="AY30" s="30">
        <f t="shared" si="3"/>
        <v>0</v>
      </c>
      <c r="AZ30" s="30">
        <f t="shared" si="3"/>
        <v>0</v>
      </c>
      <c r="BA30" s="30">
        <f t="shared" si="3"/>
        <v>0</v>
      </c>
      <c r="BB30" s="39">
        <f t="shared" si="1"/>
        <v>0</v>
      </c>
    </row>
    <row r="31" spans="1:54">
      <c r="A31" s="168">
        <v>4043</v>
      </c>
      <c r="B31" s="2">
        <v>148635</v>
      </c>
      <c r="C31" s="2" t="s">
        <v>236</v>
      </c>
      <c r="E31" s="164">
        <v>0</v>
      </c>
      <c r="F31" s="164"/>
      <c r="G31" s="164">
        <v>0</v>
      </c>
      <c r="H31" s="164">
        <v>0</v>
      </c>
      <c r="I31" s="164">
        <v>0</v>
      </c>
      <c r="J31" s="164">
        <v>0</v>
      </c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64"/>
      <c r="V31" s="164"/>
      <c r="W31" s="171"/>
      <c r="X31" s="164"/>
      <c r="Y31" s="164"/>
      <c r="Z31" s="164"/>
      <c r="AA31" s="164"/>
      <c r="AB31" s="171"/>
      <c r="AC31" s="171"/>
      <c r="AD31" s="171"/>
      <c r="AE31" s="171"/>
      <c r="AF31" s="234"/>
      <c r="AG31" s="171"/>
      <c r="AH31" s="171"/>
      <c r="AI31" s="164"/>
      <c r="AJ31" s="164"/>
      <c r="AK31" s="164"/>
      <c r="AL31" s="164"/>
      <c r="AM31" s="164"/>
      <c r="AN31" s="238"/>
      <c r="AO31" s="238"/>
      <c r="AP31" s="243"/>
      <c r="AQ31" s="243"/>
      <c r="AR31" s="243"/>
      <c r="AS31" s="172">
        <f t="shared" si="2"/>
        <v>0</v>
      </c>
      <c r="AU31" s="30">
        <f t="shared" si="3"/>
        <v>0</v>
      </c>
      <c r="AV31" s="30">
        <f t="shared" si="3"/>
        <v>0</v>
      </c>
      <c r="AW31" s="30">
        <f t="shared" si="3"/>
        <v>0</v>
      </c>
      <c r="AX31" s="30">
        <f t="shared" si="3"/>
        <v>0</v>
      </c>
      <c r="AY31" s="30">
        <f t="shared" si="3"/>
        <v>0</v>
      </c>
      <c r="AZ31" s="30">
        <f t="shared" si="3"/>
        <v>0</v>
      </c>
      <c r="BA31" s="30">
        <f t="shared" si="3"/>
        <v>0</v>
      </c>
      <c r="BB31" s="39">
        <f t="shared" si="1"/>
        <v>0</v>
      </c>
    </row>
    <row r="32" spans="1:54">
      <c r="A32" s="168">
        <v>2171</v>
      </c>
      <c r="B32" s="2">
        <v>144337</v>
      </c>
      <c r="C32" s="2" t="s">
        <v>237</v>
      </c>
      <c r="E32" s="164">
        <v>0</v>
      </c>
      <c r="F32" s="164"/>
      <c r="G32" s="164">
        <v>0</v>
      </c>
      <c r="H32" s="164">
        <v>0</v>
      </c>
      <c r="I32" s="164">
        <v>0</v>
      </c>
      <c r="J32" s="164">
        <v>0</v>
      </c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64"/>
      <c r="V32" s="164"/>
      <c r="W32" s="171"/>
      <c r="X32" s="164"/>
      <c r="Y32" s="164"/>
      <c r="Z32" s="164"/>
      <c r="AA32" s="164"/>
      <c r="AB32" s="171"/>
      <c r="AC32" s="171"/>
      <c r="AD32" s="171"/>
      <c r="AE32" s="171"/>
      <c r="AF32" s="234"/>
      <c r="AG32" s="171"/>
      <c r="AH32" s="171"/>
      <c r="AI32" s="164"/>
      <c r="AJ32" s="164"/>
      <c r="AK32" s="164"/>
      <c r="AL32" s="164"/>
      <c r="AM32" s="164"/>
      <c r="AN32" s="238"/>
      <c r="AO32" s="238"/>
      <c r="AP32" s="243"/>
      <c r="AQ32" s="243"/>
      <c r="AR32" s="243"/>
      <c r="AS32" s="172">
        <f t="shared" si="2"/>
        <v>0</v>
      </c>
      <c r="AU32" s="30">
        <f t="shared" si="3"/>
        <v>0</v>
      </c>
      <c r="AV32" s="30">
        <f t="shared" si="3"/>
        <v>0</v>
      </c>
      <c r="AW32" s="30">
        <f t="shared" si="3"/>
        <v>0</v>
      </c>
      <c r="AX32" s="30">
        <f t="shared" si="3"/>
        <v>0</v>
      </c>
      <c r="AY32" s="30">
        <f t="shared" si="3"/>
        <v>0</v>
      </c>
      <c r="AZ32" s="30">
        <f t="shared" si="3"/>
        <v>0</v>
      </c>
      <c r="BA32" s="30">
        <f t="shared" si="3"/>
        <v>0</v>
      </c>
      <c r="BB32" s="39">
        <f t="shared" si="1"/>
        <v>0</v>
      </c>
    </row>
    <row r="33" spans="1:54">
      <c r="A33" s="168">
        <v>4017</v>
      </c>
      <c r="B33" s="2">
        <v>141318</v>
      </c>
      <c r="C33" s="2" t="s">
        <v>238</v>
      </c>
      <c r="E33" s="164">
        <v>0</v>
      </c>
      <c r="F33" s="164"/>
      <c r="G33" s="164">
        <v>0</v>
      </c>
      <c r="H33" s="164">
        <v>0</v>
      </c>
      <c r="I33" s="164">
        <v>0</v>
      </c>
      <c r="J33" s="164">
        <v>0</v>
      </c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64"/>
      <c r="V33" s="164"/>
      <c r="W33" s="171"/>
      <c r="X33" s="164"/>
      <c r="Y33" s="164"/>
      <c r="Z33" s="164"/>
      <c r="AA33" s="164"/>
      <c r="AB33" s="171"/>
      <c r="AC33" s="171"/>
      <c r="AD33" s="171"/>
      <c r="AE33" s="171"/>
      <c r="AF33" s="234"/>
      <c r="AG33" s="171"/>
      <c r="AH33" s="171"/>
      <c r="AI33" s="164"/>
      <c r="AJ33" s="164"/>
      <c r="AK33" s="164"/>
      <c r="AL33" s="164"/>
      <c r="AM33" s="164"/>
      <c r="AN33" s="238"/>
      <c r="AO33" s="238"/>
      <c r="AP33" s="243"/>
      <c r="AQ33" s="243"/>
      <c r="AR33" s="243"/>
      <c r="AS33" s="172">
        <f t="shared" si="2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9">
        <f t="shared" si="1"/>
        <v>0</v>
      </c>
    </row>
    <row r="34" spans="1:54">
      <c r="A34" s="168">
        <v>7038</v>
      </c>
      <c r="B34" s="2">
        <v>144042</v>
      </c>
      <c r="C34" s="2" t="s">
        <v>239</v>
      </c>
      <c r="E34" s="164">
        <v>227133.9288716529</v>
      </c>
      <c r="F34" s="164"/>
      <c r="G34" s="164">
        <v>54848.31546131269</v>
      </c>
      <c r="H34" s="164">
        <v>37487.050000000003</v>
      </c>
      <c r="I34" s="164">
        <v>1436.41</v>
      </c>
      <c r="J34" s="164">
        <v>1916.28</v>
      </c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64"/>
      <c r="V34" s="164"/>
      <c r="W34" s="171"/>
      <c r="X34" s="164"/>
      <c r="Y34" s="164"/>
      <c r="Z34" s="164"/>
      <c r="AA34" s="164"/>
      <c r="AB34" s="171"/>
      <c r="AC34" s="171"/>
      <c r="AD34" s="171"/>
      <c r="AE34" s="171"/>
      <c r="AF34" s="234"/>
      <c r="AG34" s="171"/>
      <c r="AH34" s="171"/>
      <c r="AI34" s="164"/>
      <c r="AJ34" s="164"/>
      <c r="AK34" s="164"/>
      <c r="AL34" s="164"/>
      <c r="AM34" s="164"/>
      <c r="AN34" s="238"/>
      <c r="AO34" s="238"/>
      <c r="AP34" s="243"/>
      <c r="AQ34" s="243"/>
      <c r="AR34" s="243"/>
      <c r="AS34" s="172">
        <f t="shared" si="2"/>
        <v>322821.98433296557</v>
      </c>
      <c r="AU34" s="30">
        <f t="shared" si="3"/>
        <v>3352.69</v>
      </c>
      <c r="AV34" s="30">
        <f t="shared" si="3"/>
        <v>0</v>
      </c>
      <c r="AW34" s="30">
        <f t="shared" si="3"/>
        <v>319469.29433296557</v>
      </c>
      <c r="AX34" s="30">
        <f t="shared" si="3"/>
        <v>0</v>
      </c>
      <c r="AY34" s="30">
        <f t="shared" si="3"/>
        <v>0</v>
      </c>
      <c r="AZ34" s="30">
        <f t="shared" si="3"/>
        <v>0</v>
      </c>
      <c r="BA34" s="30">
        <f t="shared" si="3"/>
        <v>0</v>
      </c>
      <c r="BB34" s="39">
        <f t="shared" si="1"/>
        <v>0</v>
      </c>
    </row>
    <row r="35" spans="1:54">
      <c r="A35" s="168">
        <v>4227</v>
      </c>
      <c r="B35" s="2">
        <v>139841</v>
      </c>
      <c r="C35" s="2" t="s">
        <v>240</v>
      </c>
      <c r="E35" s="164">
        <v>0</v>
      </c>
      <c r="F35" s="164"/>
      <c r="G35" s="164">
        <v>0</v>
      </c>
      <c r="H35" s="164">
        <v>0</v>
      </c>
      <c r="I35" s="164">
        <v>0</v>
      </c>
      <c r="J35" s="164">
        <v>0</v>
      </c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64"/>
      <c r="V35" s="164"/>
      <c r="W35" s="171"/>
      <c r="X35" s="164"/>
      <c r="Y35" s="164"/>
      <c r="Z35" s="164"/>
      <c r="AA35" s="164"/>
      <c r="AB35" s="171"/>
      <c r="AC35" s="171"/>
      <c r="AD35" s="171"/>
      <c r="AE35" s="171"/>
      <c r="AF35" s="234"/>
      <c r="AG35" s="171"/>
      <c r="AH35" s="171"/>
      <c r="AI35" s="164"/>
      <c r="AJ35" s="164"/>
      <c r="AK35" s="164"/>
      <c r="AL35" s="164"/>
      <c r="AM35" s="164"/>
      <c r="AN35" s="238"/>
      <c r="AO35" s="238"/>
      <c r="AP35" s="243"/>
      <c r="AQ35" s="243"/>
      <c r="AR35" s="243"/>
      <c r="AS35" s="172">
        <f t="shared" si="2"/>
        <v>0</v>
      </c>
      <c r="AU35" s="30">
        <f t="shared" si="3"/>
        <v>0</v>
      </c>
      <c r="AV35" s="30">
        <f t="shared" si="3"/>
        <v>0</v>
      </c>
      <c r="AW35" s="30">
        <f t="shared" si="3"/>
        <v>0</v>
      </c>
      <c r="AX35" s="30">
        <f t="shared" si="3"/>
        <v>0</v>
      </c>
      <c r="AY35" s="30">
        <f t="shared" si="3"/>
        <v>0</v>
      </c>
      <c r="AZ35" s="30">
        <f t="shared" si="3"/>
        <v>0</v>
      </c>
      <c r="BA35" s="30">
        <f t="shared" si="3"/>
        <v>0</v>
      </c>
      <c r="BB35" s="39">
        <f t="shared" si="1"/>
        <v>0</v>
      </c>
    </row>
    <row r="36" spans="1:54">
      <c r="A36" s="168">
        <v>2223</v>
      </c>
      <c r="B36" s="2">
        <v>151212</v>
      </c>
      <c r="C36" s="2" t="s">
        <v>10</v>
      </c>
      <c r="E36" s="164">
        <v>0</v>
      </c>
      <c r="F36" s="164"/>
      <c r="G36" s="164">
        <v>0</v>
      </c>
      <c r="H36" s="164">
        <v>0</v>
      </c>
      <c r="I36" s="164">
        <v>0</v>
      </c>
      <c r="J36" s="164">
        <v>0</v>
      </c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64"/>
      <c r="V36" s="164"/>
      <c r="W36" s="171"/>
      <c r="X36" s="164"/>
      <c r="Y36" s="164"/>
      <c r="Z36" s="164"/>
      <c r="AA36" s="164"/>
      <c r="AB36" s="171"/>
      <c r="AC36" s="171"/>
      <c r="AD36" s="171"/>
      <c r="AE36" s="171"/>
      <c r="AF36" s="234"/>
      <c r="AG36" s="171"/>
      <c r="AH36" s="171"/>
      <c r="AI36" s="164"/>
      <c r="AJ36" s="164"/>
      <c r="AK36" s="164"/>
      <c r="AL36" s="164"/>
      <c r="AM36" s="164"/>
      <c r="AN36" s="238"/>
      <c r="AO36" s="238"/>
      <c r="AP36" s="243"/>
      <c r="AQ36" s="243"/>
      <c r="AR36" s="243"/>
      <c r="AS36" s="172">
        <f t="shared" si="2"/>
        <v>0</v>
      </c>
      <c r="AU36" s="30">
        <f t="shared" si="3"/>
        <v>0</v>
      </c>
      <c r="AV36" s="30">
        <f t="shared" si="3"/>
        <v>0</v>
      </c>
      <c r="AW36" s="30">
        <f t="shared" si="3"/>
        <v>0</v>
      </c>
      <c r="AX36" s="30">
        <f t="shared" si="3"/>
        <v>0</v>
      </c>
      <c r="AY36" s="30">
        <f t="shared" si="3"/>
        <v>0</v>
      </c>
      <c r="AZ36" s="30">
        <f t="shared" si="3"/>
        <v>0</v>
      </c>
      <c r="BA36" s="30">
        <f t="shared" si="3"/>
        <v>0</v>
      </c>
      <c r="BB36" s="39">
        <f t="shared" si="1"/>
        <v>0</v>
      </c>
    </row>
    <row r="37" spans="1:54">
      <c r="A37" s="168">
        <v>2236</v>
      </c>
      <c r="B37" s="2">
        <v>151402</v>
      </c>
      <c r="C37" s="2" t="s">
        <v>11</v>
      </c>
      <c r="E37" s="164">
        <v>0</v>
      </c>
      <c r="F37" s="164"/>
      <c r="G37" s="164">
        <v>0</v>
      </c>
      <c r="H37" s="164">
        <v>0</v>
      </c>
      <c r="I37" s="164">
        <v>0</v>
      </c>
      <c r="J37" s="164">
        <v>0</v>
      </c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64"/>
      <c r="V37" s="164"/>
      <c r="W37" s="171"/>
      <c r="X37" s="164"/>
      <c r="Y37" s="164"/>
      <c r="Z37" s="164"/>
      <c r="AA37" s="164"/>
      <c r="AB37" s="171"/>
      <c r="AC37" s="171"/>
      <c r="AD37" s="171"/>
      <c r="AE37" s="171"/>
      <c r="AF37" s="234"/>
      <c r="AG37" s="171"/>
      <c r="AH37" s="171"/>
      <c r="AI37" s="164"/>
      <c r="AJ37" s="164"/>
      <c r="AK37" s="164"/>
      <c r="AL37" s="164"/>
      <c r="AM37" s="164"/>
      <c r="AN37" s="238"/>
      <c r="AO37" s="238"/>
      <c r="AP37" s="243"/>
      <c r="AQ37" s="243"/>
      <c r="AR37" s="243"/>
      <c r="AS37" s="172">
        <f t="shared" si="2"/>
        <v>0</v>
      </c>
      <c r="AU37" s="30">
        <f t="shared" si="3"/>
        <v>0</v>
      </c>
      <c r="AV37" s="30">
        <f t="shared" si="3"/>
        <v>0</v>
      </c>
      <c r="AW37" s="30">
        <f t="shared" si="3"/>
        <v>0</v>
      </c>
      <c r="AX37" s="30">
        <f t="shared" si="3"/>
        <v>0</v>
      </c>
      <c r="AY37" s="30">
        <f t="shared" si="3"/>
        <v>0</v>
      </c>
      <c r="AZ37" s="30">
        <f t="shared" si="3"/>
        <v>0</v>
      </c>
      <c r="BA37" s="30">
        <f t="shared" si="3"/>
        <v>0</v>
      </c>
      <c r="BB37" s="39">
        <f t="shared" si="1"/>
        <v>0</v>
      </c>
    </row>
    <row r="38" spans="1:54">
      <c r="A38" s="168">
        <v>2196</v>
      </c>
      <c r="B38" s="2">
        <v>146437</v>
      </c>
      <c r="C38" s="2" t="s">
        <v>241</v>
      </c>
      <c r="E38" s="164">
        <v>0</v>
      </c>
      <c r="F38" s="164"/>
      <c r="G38" s="164">
        <v>0</v>
      </c>
      <c r="H38" s="164">
        <v>0</v>
      </c>
      <c r="I38" s="164">
        <v>0</v>
      </c>
      <c r="J38" s="164">
        <v>0</v>
      </c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64"/>
      <c r="V38" s="164"/>
      <c r="W38" s="171"/>
      <c r="X38" s="164"/>
      <c r="Y38" s="164"/>
      <c r="Z38" s="164"/>
      <c r="AA38" s="164"/>
      <c r="AB38" s="171"/>
      <c r="AC38" s="171"/>
      <c r="AD38" s="171"/>
      <c r="AE38" s="171"/>
      <c r="AF38" s="234"/>
      <c r="AG38" s="171"/>
      <c r="AH38" s="171"/>
      <c r="AI38" s="164"/>
      <c r="AJ38" s="164"/>
      <c r="AK38" s="164"/>
      <c r="AL38" s="164"/>
      <c r="AM38" s="164"/>
      <c r="AN38" s="238"/>
      <c r="AO38" s="238"/>
      <c r="AP38" s="243"/>
      <c r="AQ38" s="243"/>
      <c r="AR38" s="243"/>
      <c r="AS38" s="172">
        <f t="shared" si="2"/>
        <v>0</v>
      </c>
      <c r="AU38" s="30">
        <f t="shared" si="3"/>
        <v>0</v>
      </c>
      <c r="AV38" s="30">
        <f t="shared" si="3"/>
        <v>0</v>
      </c>
      <c r="AW38" s="30">
        <f t="shared" si="3"/>
        <v>0</v>
      </c>
      <c r="AX38" s="30">
        <f t="shared" si="3"/>
        <v>0</v>
      </c>
      <c r="AY38" s="30">
        <f t="shared" si="3"/>
        <v>0</v>
      </c>
      <c r="AZ38" s="30">
        <f t="shared" si="3"/>
        <v>0</v>
      </c>
      <c r="BA38" s="30">
        <f t="shared" si="3"/>
        <v>0</v>
      </c>
      <c r="BB38" s="39">
        <f t="shared" si="1"/>
        <v>0</v>
      </c>
    </row>
    <row r="39" spans="1:54">
      <c r="A39" s="168">
        <v>2295</v>
      </c>
      <c r="B39" s="2">
        <v>139465</v>
      </c>
      <c r="C39" s="2" t="s">
        <v>242</v>
      </c>
      <c r="E39" s="164">
        <v>0</v>
      </c>
      <c r="F39" s="164"/>
      <c r="G39" s="164">
        <v>0</v>
      </c>
      <c r="H39" s="164">
        <v>0</v>
      </c>
      <c r="I39" s="164">
        <v>0</v>
      </c>
      <c r="J39" s="164">
        <v>0</v>
      </c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64"/>
      <c r="V39" s="164"/>
      <c r="W39" s="171"/>
      <c r="X39" s="164"/>
      <c r="Y39" s="164"/>
      <c r="Z39" s="164"/>
      <c r="AA39" s="164"/>
      <c r="AB39" s="171"/>
      <c r="AC39" s="171"/>
      <c r="AD39" s="171"/>
      <c r="AE39" s="171"/>
      <c r="AF39" s="234"/>
      <c r="AG39" s="171"/>
      <c r="AH39" s="171"/>
      <c r="AI39" s="164"/>
      <c r="AJ39" s="164"/>
      <c r="AK39" s="164"/>
      <c r="AL39" s="164"/>
      <c r="AM39" s="164"/>
      <c r="AN39" s="238"/>
      <c r="AO39" s="238"/>
      <c r="AP39" s="243"/>
      <c r="AQ39" s="243"/>
      <c r="AR39" s="243"/>
      <c r="AS39" s="172">
        <f t="shared" si="2"/>
        <v>0</v>
      </c>
      <c r="AU39" s="30">
        <f t="shared" si="3"/>
        <v>0</v>
      </c>
      <c r="AV39" s="30">
        <f t="shared" si="3"/>
        <v>0</v>
      </c>
      <c r="AW39" s="30">
        <f t="shared" si="3"/>
        <v>0</v>
      </c>
      <c r="AX39" s="30">
        <f t="shared" si="3"/>
        <v>0</v>
      </c>
      <c r="AY39" s="30">
        <f t="shared" si="3"/>
        <v>0</v>
      </c>
      <c r="AZ39" s="30">
        <f t="shared" si="3"/>
        <v>0</v>
      </c>
      <c r="BA39" s="30">
        <f t="shared" si="3"/>
        <v>0</v>
      </c>
      <c r="BB39" s="39">
        <f t="shared" ref="BB39:BB70" si="4">SUM(AU39:BA39)-AS39</f>
        <v>0</v>
      </c>
    </row>
    <row r="40" spans="1:54">
      <c r="A40" s="168">
        <v>2152</v>
      </c>
      <c r="B40" s="2">
        <v>141320</v>
      </c>
      <c r="C40" s="2" t="s">
        <v>243</v>
      </c>
      <c r="E40" s="164">
        <v>0</v>
      </c>
      <c r="F40" s="164"/>
      <c r="G40" s="164">
        <v>0</v>
      </c>
      <c r="H40" s="164">
        <v>0</v>
      </c>
      <c r="I40" s="164">
        <v>0</v>
      </c>
      <c r="J40" s="164">
        <v>0</v>
      </c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64"/>
      <c r="V40" s="164"/>
      <c r="W40" s="171"/>
      <c r="X40" s="164"/>
      <c r="Y40" s="164"/>
      <c r="Z40" s="164"/>
      <c r="AA40" s="164"/>
      <c r="AB40" s="171"/>
      <c r="AC40" s="171"/>
      <c r="AD40" s="171"/>
      <c r="AE40" s="171"/>
      <c r="AF40" s="234"/>
      <c r="AG40" s="171"/>
      <c r="AH40" s="171"/>
      <c r="AI40" s="164"/>
      <c r="AJ40" s="164"/>
      <c r="AK40" s="164"/>
      <c r="AL40" s="164"/>
      <c r="AM40" s="164"/>
      <c r="AN40" s="238"/>
      <c r="AO40" s="238"/>
      <c r="AP40" s="243"/>
      <c r="AQ40" s="243"/>
      <c r="AR40" s="243"/>
      <c r="AS40" s="172">
        <f t="shared" si="2"/>
        <v>0</v>
      </c>
      <c r="AU40" s="30">
        <f t="shared" ref="AU40:BA65" si="5">SUMIF($E$3:$AR$3,AU$6,$E40:$AR40)</f>
        <v>0</v>
      </c>
      <c r="AV40" s="30">
        <f t="shared" si="5"/>
        <v>0</v>
      </c>
      <c r="AW40" s="30">
        <f t="shared" si="5"/>
        <v>0</v>
      </c>
      <c r="AX40" s="30">
        <f t="shared" si="5"/>
        <v>0</v>
      </c>
      <c r="AY40" s="30">
        <f t="shared" si="5"/>
        <v>0</v>
      </c>
      <c r="AZ40" s="30">
        <f t="shared" si="5"/>
        <v>0</v>
      </c>
      <c r="BA40" s="30">
        <f t="shared" si="5"/>
        <v>0</v>
      </c>
      <c r="BB40" s="39">
        <f t="shared" si="4"/>
        <v>0</v>
      </c>
    </row>
    <row r="41" spans="1:54">
      <c r="A41" s="168">
        <v>7013</v>
      </c>
      <c r="B41" s="2">
        <v>141252</v>
      </c>
      <c r="C41" s="2" t="s">
        <v>244</v>
      </c>
      <c r="E41" s="164">
        <v>970481.33245160792</v>
      </c>
      <c r="F41" s="164"/>
      <c r="G41" s="164">
        <v>234351.89333469968</v>
      </c>
      <c r="H41" s="164">
        <v>160171.93</v>
      </c>
      <c r="I41" s="164">
        <v>6137.38</v>
      </c>
      <c r="J41" s="164">
        <v>8187.73</v>
      </c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64"/>
      <c r="V41" s="164"/>
      <c r="W41" s="171"/>
      <c r="X41" s="164"/>
      <c r="Y41" s="164"/>
      <c r="Z41" s="164"/>
      <c r="AA41" s="164"/>
      <c r="AB41" s="171"/>
      <c r="AC41" s="171"/>
      <c r="AD41" s="171"/>
      <c r="AE41" s="171"/>
      <c r="AF41" s="234"/>
      <c r="AG41" s="171"/>
      <c r="AH41" s="171"/>
      <c r="AI41" s="164"/>
      <c r="AJ41" s="164"/>
      <c r="AK41" s="164"/>
      <c r="AL41" s="164"/>
      <c r="AM41" s="164"/>
      <c r="AN41" s="238"/>
      <c r="AO41" s="238"/>
      <c r="AP41" s="243"/>
      <c r="AQ41" s="243"/>
      <c r="AR41" s="243"/>
      <c r="AS41" s="172">
        <f t="shared" si="2"/>
        <v>1379330.2657863074</v>
      </c>
      <c r="AU41" s="30">
        <f t="shared" si="5"/>
        <v>14325.11</v>
      </c>
      <c r="AV41" s="30">
        <f t="shared" si="5"/>
        <v>0</v>
      </c>
      <c r="AW41" s="30">
        <f t="shared" si="5"/>
        <v>1365005.1557863075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9">
        <f t="shared" si="4"/>
        <v>0</v>
      </c>
    </row>
    <row r="42" spans="1:54">
      <c r="A42" s="168">
        <v>2039</v>
      </c>
      <c r="B42" s="2">
        <v>143942</v>
      </c>
      <c r="C42" s="2" t="s">
        <v>245</v>
      </c>
      <c r="E42" s="164">
        <v>0</v>
      </c>
      <c r="F42" s="164"/>
      <c r="G42" s="164">
        <v>0</v>
      </c>
      <c r="H42" s="164">
        <v>0</v>
      </c>
      <c r="I42" s="164">
        <v>0</v>
      </c>
      <c r="J42" s="164">
        <v>0</v>
      </c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64"/>
      <c r="V42" s="164"/>
      <c r="W42" s="171"/>
      <c r="X42" s="164"/>
      <c r="Y42" s="164"/>
      <c r="Z42" s="164"/>
      <c r="AA42" s="164"/>
      <c r="AB42" s="171"/>
      <c r="AC42" s="171"/>
      <c r="AD42" s="171"/>
      <c r="AE42" s="171"/>
      <c r="AF42" s="234"/>
      <c r="AG42" s="171"/>
      <c r="AH42" s="171"/>
      <c r="AI42" s="164"/>
      <c r="AJ42" s="164"/>
      <c r="AK42" s="164"/>
      <c r="AL42" s="164"/>
      <c r="AM42" s="164"/>
      <c r="AN42" s="238"/>
      <c r="AO42" s="238"/>
      <c r="AP42" s="243"/>
      <c r="AQ42" s="243"/>
      <c r="AR42" s="243"/>
      <c r="AS42" s="172">
        <f t="shared" si="2"/>
        <v>0</v>
      </c>
      <c r="AU42" s="30">
        <f t="shared" si="5"/>
        <v>0</v>
      </c>
      <c r="AV42" s="30">
        <f t="shared" si="5"/>
        <v>0</v>
      </c>
      <c r="AW42" s="30">
        <f t="shared" si="5"/>
        <v>0</v>
      </c>
      <c r="AX42" s="30">
        <f t="shared" si="5"/>
        <v>0</v>
      </c>
      <c r="AY42" s="30">
        <f t="shared" si="5"/>
        <v>0</v>
      </c>
      <c r="AZ42" s="30">
        <f t="shared" si="5"/>
        <v>0</v>
      </c>
      <c r="BA42" s="30">
        <f t="shared" si="5"/>
        <v>0</v>
      </c>
      <c r="BB42" s="39">
        <f t="shared" si="4"/>
        <v>0</v>
      </c>
    </row>
    <row r="43" spans="1:54">
      <c r="A43" s="168">
        <v>2226</v>
      </c>
      <c r="B43" s="2">
        <v>143088</v>
      </c>
      <c r="C43" s="2" t="s">
        <v>246</v>
      </c>
      <c r="E43" s="164">
        <v>0</v>
      </c>
      <c r="F43" s="164"/>
      <c r="G43" s="164">
        <v>0</v>
      </c>
      <c r="H43" s="164">
        <v>0</v>
      </c>
      <c r="I43" s="164">
        <v>0</v>
      </c>
      <c r="J43" s="164">
        <v>0</v>
      </c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64"/>
      <c r="V43" s="164"/>
      <c r="W43" s="171"/>
      <c r="X43" s="164"/>
      <c r="Y43" s="164"/>
      <c r="Z43" s="164"/>
      <c r="AA43" s="164"/>
      <c r="AB43" s="171"/>
      <c r="AC43" s="171"/>
      <c r="AD43" s="171"/>
      <c r="AE43" s="171"/>
      <c r="AF43" s="234"/>
      <c r="AG43" s="171"/>
      <c r="AH43" s="171"/>
      <c r="AI43" s="164"/>
      <c r="AJ43" s="164"/>
      <c r="AK43" s="164"/>
      <c r="AL43" s="164"/>
      <c r="AM43" s="164"/>
      <c r="AN43" s="238"/>
      <c r="AO43" s="238"/>
      <c r="AP43" s="243"/>
      <c r="AQ43" s="243"/>
      <c r="AR43" s="243"/>
      <c r="AS43" s="172">
        <f t="shared" si="2"/>
        <v>0</v>
      </c>
      <c r="AU43" s="30">
        <f t="shared" si="5"/>
        <v>0</v>
      </c>
      <c r="AV43" s="30">
        <f t="shared" si="5"/>
        <v>0</v>
      </c>
      <c r="AW43" s="30">
        <f t="shared" si="5"/>
        <v>0</v>
      </c>
      <c r="AX43" s="30">
        <f t="shared" si="5"/>
        <v>0</v>
      </c>
      <c r="AY43" s="30">
        <f t="shared" si="5"/>
        <v>0</v>
      </c>
      <c r="AZ43" s="30">
        <f t="shared" si="5"/>
        <v>0</v>
      </c>
      <c r="BA43" s="30">
        <f t="shared" si="5"/>
        <v>0</v>
      </c>
      <c r="BB43" s="39">
        <f t="shared" si="4"/>
        <v>0</v>
      </c>
    </row>
    <row r="44" spans="1:54">
      <c r="A44" s="168">
        <v>2170</v>
      </c>
      <c r="B44" s="2">
        <v>143908</v>
      </c>
      <c r="C44" s="2" t="s">
        <v>247</v>
      </c>
      <c r="E44" s="164">
        <v>0</v>
      </c>
      <c r="F44" s="164">
        <v>1260</v>
      </c>
      <c r="G44" s="164">
        <v>0</v>
      </c>
      <c r="H44" s="164">
        <v>0</v>
      </c>
      <c r="I44" s="164">
        <v>0</v>
      </c>
      <c r="J44" s="164">
        <v>0</v>
      </c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64"/>
      <c r="V44" s="164"/>
      <c r="W44" s="171"/>
      <c r="X44" s="164"/>
      <c r="Y44" s="164"/>
      <c r="Z44" s="164"/>
      <c r="AA44" s="164"/>
      <c r="AB44" s="171"/>
      <c r="AC44" s="171"/>
      <c r="AD44" s="171"/>
      <c r="AE44" s="171"/>
      <c r="AF44" s="234"/>
      <c r="AG44" s="171"/>
      <c r="AH44" s="171"/>
      <c r="AI44" s="164"/>
      <c r="AJ44" s="164"/>
      <c r="AK44" s="164"/>
      <c r="AL44" s="164"/>
      <c r="AM44" s="164"/>
      <c r="AN44" s="238"/>
      <c r="AO44" s="238"/>
      <c r="AP44" s="243"/>
      <c r="AQ44" s="243"/>
      <c r="AR44" s="243"/>
      <c r="AS44" s="172">
        <f t="shared" si="2"/>
        <v>1260</v>
      </c>
      <c r="AU44" s="30">
        <f t="shared" si="5"/>
        <v>0</v>
      </c>
      <c r="AV44" s="30">
        <f t="shared" si="5"/>
        <v>0</v>
      </c>
      <c r="AW44" s="30">
        <f t="shared" si="5"/>
        <v>0</v>
      </c>
      <c r="AX44" s="30">
        <f t="shared" si="5"/>
        <v>0</v>
      </c>
      <c r="AY44" s="30">
        <f t="shared" si="5"/>
        <v>1260</v>
      </c>
      <c r="AZ44" s="30">
        <f t="shared" si="5"/>
        <v>0</v>
      </c>
      <c r="BA44" s="30">
        <f t="shared" si="5"/>
        <v>0</v>
      </c>
      <c r="BB44" s="39">
        <f t="shared" si="4"/>
        <v>0</v>
      </c>
    </row>
    <row r="45" spans="1:54">
      <c r="A45" s="168">
        <v>2047</v>
      </c>
      <c r="B45" s="2">
        <v>138395</v>
      </c>
      <c r="C45" s="2" t="s">
        <v>248</v>
      </c>
      <c r="E45" s="164">
        <v>0</v>
      </c>
      <c r="F45" s="164"/>
      <c r="G45" s="164">
        <v>0</v>
      </c>
      <c r="H45" s="164">
        <v>0</v>
      </c>
      <c r="I45" s="164">
        <v>0</v>
      </c>
      <c r="J45" s="164">
        <v>0</v>
      </c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64"/>
      <c r="V45" s="164"/>
      <c r="W45" s="171"/>
      <c r="X45" s="164"/>
      <c r="Y45" s="164"/>
      <c r="Z45" s="164"/>
      <c r="AA45" s="164"/>
      <c r="AB45" s="171"/>
      <c r="AC45" s="171"/>
      <c r="AD45" s="171"/>
      <c r="AE45" s="171"/>
      <c r="AF45" s="234"/>
      <c r="AG45" s="171"/>
      <c r="AH45" s="171"/>
      <c r="AI45" s="164"/>
      <c r="AJ45" s="164"/>
      <c r="AK45" s="164"/>
      <c r="AL45" s="164"/>
      <c r="AM45" s="164"/>
      <c r="AN45" s="238"/>
      <c r="AO45" s="238"/>
      <c r="AP45" s="243"/>
      <c r="AQ45" s="243"/>
      <c r="AR45" s="243"/>
      <c r="AS45" s="172">
        <f t="shared" si="2"/>
        <v>0</v>
      </c>
      <c r="AU45" s="30">
        <f t="shared" si="5"/>
        <v>0</v>
      </c>
      <c r="AV45" s="30">
        <f t="shared" si="5"/>
        <v>0</v>
      </c>
      <c r="AW45" s="30">
        <f t="shared" si="5"/>
        <v>0</v>
      </c>
      <c r="AX45" s="30">
        <f t="shared" si="5"/>
        <v>0</v>
      </c>
      <c r="AY45" s="30">
        <f t="shared" si="5"/>
        <v>0</v>
      </c>
      <c r="AZ45" s="30">
        <f t="shared" si="5"/>
        <v>0</v>
      </c>
      <c r="BA45" s="30">
        <f t="shared" si="5"/>
        <v>0</v>
      </c>
      <c r="BB45" s="39">
        <f t="shared" si="4"/>
        <v>0</v>
      </c>
    </row>
    <row r="46" spans="1:54">
      <c r="A46" s="168">
        <v>2140</v>
      </c>
      <c r="B46" s="2">
        <v>140159</v>
      </c>
      <c r="C46" s="2" t="s">
        <v>249</v>
      </c>
      <c r="E46" s="164">
        <v>0</v>
      </c>
      <c r="F46" s="164"/>
      <c r="G46" s="164">
        <v>0</v>
      </c>
      <c r="H46" s="164">
        <v>0</v>
      </c>
      <c r="I46" s="164">
        <v>0</v>
      </c>
      <c r="J46" s="164">
        <v>0</v>
      </c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64"/>
      <c r="V46" s="164"/>
      <c r="W46" s="171"/>
      <c r="X46" s="164"/>
      <c r="Y46" s="164"/>
      <c r="Z46" s="164"/>
      <c r="AA46" s="164"/>
      <c r="AB46" s="171"/>
      <c r="AC46" s="171"/>
      <c r="AD46" s="171"/>
      <c r="AE46" s="171"/>
      <c r="AF46" s="234"/>
      <c r="AG46" s="171"/>
      <c r="AH46" s="171"/>
      <c r="AI46" s="164"/>
      <c r="AJ46" s="164"/>
      <c r="AK46" s="164"/>
      <c r="AL46" s="164"/>
      <c r="AM46" s="164"/>
      <c r="AN46" s="238"/>
      <c r="AO46" s="238"/>
      <c r="AP46" s="243"/>
      <c r="AQ46" s="243"/>
      <c r="AR46" s="243"/>
      <c r="AS46" s="172">
        <f t="shared" si="2"/>
        <v>0</v>
      </c>
      <c r="AU46" s="30">
        <f t="shared" si="5"/>
        <v>0</v>
      </c>
      <c r="AV46" s="30">
        <f t="shared" si="5"/>
        <v>0</v>
      </c>
      <c r="AW46" s="30">
        <f t="shared" si="5"/>
        <v>0</v>
      </c>
      <c r="AX46" s="30">
        <f t="shared" si="5"/>
        <v>0</v>
      </c>
      <c r="AY46" s="30">
        <f t="shared" si="5"/>
        <v>0</v>
      </c>
      <c r="AZ46" s="30">
        <f t="shared" si="5"/>
        <v>0</v>
      </c>
      <c r="BA46" s="30">
        <f t="shared" si="5"/>
        <v>0</v>
      </c>
      <c r="BB46" s="39">
        <f t="shared" si="4"/>
        <v>0</v>
      </c>
    </row>
    <row r="47" spans="1:54">
      <c r="A47" s="168">
        <v>4042</v>
      </c>
      <c r="B47" s="2">
        <v>148589</v>
      </c>
      <c r="C47" s="2" t="s">
        <v>250</v>
      </c>
      <c r="E47" s="164">
        <v>0</v>
      </c>
      <c r="F47" s="164"/>
      <c r="G47" s="164">
        <v>0</v>
      </c>
      <c r="H47" s="164">
        <v>0</v>
      </c>
      <c r="I47" s="164">
        <v>0</v>
      </c>
      <c r="J47" s="164">
        <v>0</v>
      </c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64"/>
      <c r="V47" s="164"/>
      <c r="W47" s="171"/>
      <c r="X47" s="164"/>
      <c r="Y47" s="164"/>
      <c r="Z47" s="164"/>
      <c r="AA47" s="164"/>
      <c r="AB47" s="171"/>
      <c r="AC47" s="171"/>
      <c r="AD47" s="171"/>
      <c r="AE47" s="171"/>
      <c r="AF47" s="234"/>
      <c r="AG47" s="171"/>
      <c r="AH47" s="171"/>
      <c r="AI47" s="164"/>
      <c r="AJ47" s="164"/>
      <c r="AK47" s="164"/>
      <c r="AL47" s="164"/>
      <c r="AM47" s="164"/>
      <c r="AN47" s="238"/>
      <c r="AO47" s="238"/>
      <c r="AP47" s="243"/>
      <c r="AQ47" s="243"/>
      <c r="AR47" s="243"/>
      <c r="AS47" s="172">
        <f t="shared" si="2"/>
        <v>0</v>
      </c>
      <c r="AU47" s="30">
        <f t="shared" si="5"/>
        <v>0</v>
      </c>
      <c r="AV47" s="30">
        <f t="shared" si="5"/>
        <v>0</v>
      </c>
      <c r="AW47" s="30">
        <f t="shared" si="5"/>
        <v>0</v>
      </c>
      <c r="AX47" s="30">
        <f t="shared" si="5"/>
        <v>0</v>
      </c>
      <c r="AY47" s="30">
        <f t="shared" si="5"/>
        <v>0</v>
      </c>
      <c r="AZ47" s="30">
        <f t="shared" si="5"/>
        <v>0</v>
      </c>
      <c r="BA47" s="30">
        <f t="shared" si="5"/>
        <v>0</v>
      </c>
      <c r="BB47" s="39">
        <f t="shared" si="4"/>
        <v>0</v>
      </c>
    </row>
    <row r="48" spans="1:54">
      <c r="A48" s="168">
        <v>4039</v>
      </c>
      <c r="B48" s="2">
        <v>148187</v>
      </c>
      <c r="C48" s="2" t="s">
        <v>251</v>
      </c>
      <c r="E48" s="164">
        <v>0</v>
      </c>
      <c r="F48" s="164"/>
      <c r="G48" s="164">
        <v>0</v>
      </c>
      <c r="H48" s="164">
        <v>0</v>
      </c>
      <c r="I48" s="164">
        <v>0</v>
      </c>
      <c r="J48" s="164">
        <v>0</v>
      </c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64"/>
      <c r="V48" s="164"/>
      <c r="W48" s="171"/>
      <c r="X48" s="164"/>
      <c r="Y48" s="164"/>
      <c r="Z48" s="164"/>
      <c r="AA48" s="164"/>
      <c r="AB48" s="171"/>
      <c r="AC48" s="171"/>
      <c r="AD48" s="171"/>
      <c r="AE48" s="171"/>
      <c r="AF48" s="234"/>
      <c r="AG48" s="171"/>
      <c r="AH48" s="171"/>
      <c r="AI48" s="164"/>
      <c r="AJ48" s="164"/>
      <c r="AK48" s="164"/>
      <c r="AL48" s="164"/>
      <c r="AM48" s="164"/>
      <c r="AN48" s="238"/>
      <c r="AO48" s="238"/>
      <c r="AP48" s="243"/>
      <c r="AQ48" s="243"/>
      <c r="AR48" s="243"/>
      <c r="AS48" s="172">
        <f t="shared" si="2"/>
        <v>0</v>
      </c>
      <c r="AU48" s="30">
        <f t="shared" si="5"/>
        <v>0</v>
      </c>
      <c r="AV48" s="30">
        <f t="shared" si="5"/>
        <v>0</v>
      </c>
      <c r="AW48" s="30">
        <f t="shared" si="5"/>
        <v>0</v>
      </c>
      <c r="AX48" s="30">
        <f t="shared" si="5"/>
        <v>0</v>
      </c>
      <c r="AY48" s="30">
        <f t="shared" si="5"/>
        <v>0</v>
      </c>
      <c r="AZ48" s="30">
        <f t="shared" si="5"/>
        <v>0</v>
      </c>
      <c r="BA48" s="30">
        <f t="shared" si="5"/>
        <v>0</v>
      </c>
      <c r="BB48" s="39">
        <f t="shared" si="4"/>
        <v>0</v>
      </c>
    </row>
    <row r="49" spans="1:54">
      <c r="A49" s="168">
        <v>2194</v>
      </c>
      <c r="B49" s="2">
        <v>146385</v>
      </c>
      <c r="C49" s="2" t="s">
        <v>252</v>
      </c>
      <c r="E49" s="164">
        <v>0</v>
      </c>
      <c r="F49" s="164"/>
      <c r="G49" s="164">
        <v>0</v>
      </c>
      <c r="H49" s="164">
        <v>0</v>
      </c>
      <c r="I49" s="164">
        <v>0</v>
      </c>
      <c r="J49" s="164">
        <v>0</v>
      </c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64"/>
      <c r="V49" s="164"/>
      <c r="W49" s="171"/>
      <c r="X49" s="164"/>
      <c r="Y49" s="164"/>
      <c r="Z49" s="164"/>
      <c r="AA49" s="164"/>
      <c r="AB49" s="171"/>
      <c r="AC49" s="171"/>
      <c r="AD49" s="171"/>
      <c r="AE49" s="171"/>
      <c r="AF49" s="234"/>
      <c r="AG49" s="171"/>
      <c r="AH49" s="171"/>
      <c r="AI49" s="164"/>
      <c r="AJ49" s="164"/>
      <c r="AK49" s="164"/>
      <c r="AL49" s="164"/>
      <c r="AM49" s="164"/>
      <c r="AN49" s="238"/>
      <c r="AO49" s="238"/>
      <c r="AP49" s="243"/>
      <c r="AQ49" s="243"/>
      <c r="AR49" s="243"/>
      <c r="AS49" s="172">
        <f t="shared" si="2"/>
        <v>0</v>
      </c>
      <c r="AU49" s="30">
        <f t="shared" si="5"/>
        <v>0</v>
      </c>
      <c r="AV49" s="30">
        <f t="shared" si="5"/>
        <v>0</v>
      </c>
      <c r="AW49" s="30">
        <f t="shared" si="5"/>
        <v>0</v>
      </c>
      <c r="AX49" s="30">
        <f t="shared" si="5"/>
        <v>0</v>
      </c>
      <c r="AY49" s="30">
        <f t="shared" si="5"/>
        <v>0</v>
      </c>
      <c r="AZ49" s="30">
        <f t="shared" si="5"/>
        <v>0</v>
      </c>
      <c r="BA49" s="30">
        <f t="shared" si="5"/>
        <v>0</v>
      </c>
      <c r="BB49" s="39">
        <f t="shared" si="4"/>
        <v>0</v>
      </c>
    </row>
    <row r="50" spans="1:54">
      <c r="A50" s="168">
        <v>4022</v>
      </c>
      <c r="B50" s="2">
        <v>142388</v>
      </c>
      <c r="C50" s="2" t="s">
        <v>253</v>
      </c>
      <c r="E50" s="164">
        <v>0</v>
      </c>
      <c r="F50" s="164"/>
      <c r="G50" s="164">
        <v>0</v>
      </c>
      <c r="H50" s="164">
        <v>0</v>
      </c>
      <c r="I50" s="164">
        <v>0</v>
      </c>
      <c r="J50" s="164">
        <v>0</v>
      </c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64"/>
      <c r="V50" s="164"/>
      <c r="W50" s="171"/>
      <c r="X50" s="164"/>
      <c r="Y50" s="164"/>
      <c r="Z50" s="164"/>
      <c r="AA50" s="164"/>
      <c r="AB50" s="171"/>
      <c r="AC50" s="171"/>
      <c r="AD50" s="171"/>
      <c r="AE50" s="171"/>
      <c r="AF50" s="234"/>
      <c r="AG50" s="171"/>
      <c r="AH50" s="171"/>
      <c r="AI50" s="164"/>
      <c r="AJ50" s="164"/>
      <c r="AK50" s="164"/>
      <c r="AL50" s="164"/>
      <c r="AM50" s="164"/>
      <c r="AN50" s="238"/>
      <c r="AO50" s="238"/>
      <c r="AP50" s="243"/>
      <c r="AQ50" s="243"/>
      <c r="AR50" s="243"/>
      <c r="AS50" s="172">
        <f t="shared" si="2"/>
        <v>0</v>
      </c>
      <c r="AU50" s="30">
        <f t="shared" si="5"/>
        <v>0</v>
      </c>
      <c r="AV50" s="30">
        <f t="shared" si="5"/>
        <v>0</v>
      </c>
      <c r="AW50" s="30">
        <f t="shared" si="5"/>
        <v>0</v>
      </c>
      <c r="AX50" s="30">
        <f t="shared" si="5"/>
        <v>0</v>
      </c>
      <c r="AY50" s="30">
        <f t="shared" si="5"/>
        <v>0</v>
      </c>
      <c r="AZ50" s="30">
        <f t="shared" si="5"/>
        <v>0</v>
      </c>
      <c r="BA50" s="30">
        <f t="shared" si="5"/>
        <v>0</v>
      </c>
      <c r="BB50" s="39">
        <f t="shared" si="4"/>
        <v>0</v>
      </c>
    </row>
    <row r="51" spans="1:54">
      <c r="A51" s="168">
        <v>2052</v>
      </c>
      <c r="B51" s="2">
        <v>146696</v>
      </c>
      <c r="C51" s="2" t="s">
        <v>254</v>
      </c>
      <c r="E51" s="164">
        <v>0</v>
      </c>
      <c r="F51" s="164"/>
      <c r="G51" s="164">
        <v>0</v>
      </c>
      <c r="H51" s="164">
        <v>0</v>
      </c>
      <c r="I51" s="164">
        <v>0</v>
      </c>
      <c r="J51" s="164">
        <v>0</v>
      </c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64"/>
      <c r="V51" s="164"/>
      <c r="W51" s="171"/>
      <c r="X51" s="164"/>
      <c r="Y51" s="164"/>
      <c r="Z51" s="164"/>
      <c r="AA51" s="164"/>
      <c r="AB51" s="171"/>
      <c r="AC51" s="171"/>
      <c r="AD51" s="171"/>
      <c r="AE51" s="171"/>
      <c r="AF51" s="234"/>
      <c r="AG51" s="171"/>
      <c r="AH51" s="171"/>
      <c r="AI51" s="164"/>
      <c r="AJ51" s="164"/>
      <c r="AK51" s="164"/>
      <c r="AL51" s="164"/>
      <c r="AM51" s="164"/>
      <c r="AN51" s="238"/>
      <c r="AO51" s="238"/>
      <c r="AP51" s="243"/>
      <c r="AQ51" s="243"/>
      <c r="AR51" s="243"/>
      <c r="AS51" s="172">
        <f t="shared" si="2"/>
        <v>0</v>
      </c>
      <c r="AU51" s="30">
        <f t="shared" si="5"/>
        <v>0</v>
      </c>
      <c r="AV51" s="30">
        <f t="shared" si="5"/>
        <v>0</v>
      </c>
      <c r="AW51" s="30">
        <f t="shared" si="5"/>
        <v>0</v>
      </c>
      <c r="AX51" s="30">
        <f t="shared" si="5"/>
        <v>0</v>
      </c>
      <c r="AY51" s="30">
        <f t="shared" si="5"/>
        <v>0</v>
      </c>
      <c r="AZ51" s="30">
        <f t="shared" si="5"/>
        <v>0</v>
      </c>
      <c r="BA51" s="30">
        <f t="shared" si="5"/>
        <v>0</v>
      </c>
      <c r="BB51" s="39">
        <f t="shared" si="4"/>
        <v>0</v>
      </c>
    </row>
    <row r="52" spans="1:54">
      <c r="A52" s="168">
        <v>2082</v>
      </c>
      <c r="B52" s="2">
        <v>143086</v>
      </c>
      <c r="C52" s="2" t="s">
        <v>255</v>
      </c>
      <c r="E52" s="164">
        <v>0</v>
      </c>
      <c r="F52" s="164"/>
      <c r="G52" s="164">
        <v>0</v>
      </c>
      <c r="H52" s="164">
        <v>0</v>
      </c>
      <c r="I52" s="164">
        <v>0</v>
      </c>
      <c r="J52" s="164">
        <v>0</v>
      </c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64"/>
      <c r="V52" s="164"/>
      <c r="W52" s="171"/>
      <c r="X52" s="164"/>
      <c r="Y52" s="164"/>
      <c r="Z52" s="164"/>
      <c r="AA52" s="164"/>
      <c r="AB52" s="171"/>
      <c r="AC52" s="171"/>
      <c r="AD52" s="171"/>
      <c r="AE52" s="171"/>
      <c r="AF52" s="234"/>
      <c r="AG52" s="171"/>
      <c r="AH52" s="171"/>
      <c r="AI52" s="164"/>
      <c r="AJ52" s="164"/>
      <c r="AK52" s="164"/>
      <c r="AL52" s="164"/>
      <c r="AM52" s="164"/>
      <c r="AN52" s="238"/>
      <c r="AO52" s="238"/>
      <c r="AP52" s="243"/>
      <c r="AQ52" s="243"/>
      <c r="AR52" s="243"/>
      <c r="AS52" s="172">
        <f t="shared" si="2"/>
        <v>0</v>
      </c>
      <c r="AU52" s="30">
        <f t="shared" si="5"/>
        <v>0</v>
      </c>
      <c r="AV52" s="30">
        <f t="shared" si="5"/>
        <v>0</v>
      </c>
      <c r="AW52" s="30">
        <f t="shared" si="5"/>
        <v>0</v>
      </c>
      <c r="AX52" s="30">
        <f t="shared" si="5"/>
        <v>0</v>
      </c>
      <c r="AY52" s="30">
        <f t="shared" si="5"/>
        <v>0</v>
      </c>
      <c r="AZ52" s="30">
        <f t="shared" si="5"/>
        <v>0</v>
      </c>
      <c r="BA52" s="30">
        <f t="shared" si="5"/>
        <v>0</v>
      </c>
      <c r="BB52" s="39">
        <f t="shared" si="4"/>
        <v>0</v>
      </c>
    </row>
    <row r="53" spans="1:54">
      <c r="A53" s="168">
        <v>2299</v>
      </c>
      <c r="B53" s="2">
        <v>140706</v>
      </c>
      <c r="C53" s="2" t="s">
        <v>256</v>
      </c>
      <c r="E53" s="164">
        <v>0</v>
      </c>
      <c r="F53" s="164"/>
      <c r="G53" s="164">
        <v>0</v>
      </c>
      <c r="H53" s="164">
        <v>0</v>
      </c>
      <c r="I53" s="164">
        <v>0</v>
      </c>
      <c r="J53" s="164">
        <v>0</v>
      </c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64"/>
      <c r="V53" s="164"/>
      <c r="W53" s="171"/>
      <c r="X53" s="164"/>
      <c r="Y53" s="164"/>
      <c r="Z53" s="164"/>
      <c r="AA53" s="164"/>
      <c r="AB53" s="171"/>
      <c r="AC53" s="171"/>
      <c r="AD53" s="171"/>
      <c r="AE53" s="171"/>
      <c r="AF53" s="234"/>
      <c r="AG53" s="171"/>
      <c r="AH53" s="171"/>
      <c r="AI53" s="164"/>
      <c r="AJ53" s="164"/>
      <c r="AK53" s="164"/>
      <c r="AL53" s="164"/>
      <c r="AM53" s="164"/>
      <c r="AN53" s="238"/>
      <c r="AO53" s="238"/>
      <c r="AP53" s="243"/>
      <c r="AQ53" s="243"/>
      <c r="AR53" s="243"/>
      <c r="AS53" s="172">
        <f t="shared" si="2"/>
        <v>0</v>
      </c>
      <c r="AU53" s="30">
        <f t="shared" si="5"/>
        <v>0</v>
      </c>
      <c r="AV53" s="30">
        <f t="shared" si="5"/>
        <v>0</v>
      </c>
      <c r="AW53" s="30">
        <f t="shared" si="5"/>
        <v>0</v>
      </c>
      <c r="AX53" s="30">
        <f t="shared" si="5"/>
        <v>0</v>
      </c>
      <c r="AY53" s="30">
        <f t="shared" si="5"/>
        <v>0</v>
      </c>
      <c r="AZ53" s="30">
        <f t="shared" si="5"/>
        <v>0</v>
      </c>
      <c r="BA53" s="30">
        <f t="shared" si="5"/>
        <v>0</v>
      </c>
      <c r="BB53" s="39">
        <f t="shared" si="4"/>
        <v>0</v>
      </c>
    </row>
    <row r="54" spans="1:54">
      <c r="A54" s="168">
        <v>2191</v>
      </c>
      <c r="B54" s="2">
        <v>151017</v>
      </c>
      <c r="C54" s="2" t="s">
        <v>149</v>
      </c>
      <c r="E54" s="164">
        <v>0</v>
      </c>
      <c r="F54" s="164"/>
      <c r="G54" s="164">
        <v>0</v>
      </c>
      <c r="H54" s="164">
        <v>0</v>
      </c>
      <c r="I54" s="164">
        <v>0</v>
      </c>
      <c r="J54" s="164">
        <v>0</v>
      </c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64"/>
      <c r="V54" s="164"/>
      <c r="W54" s="171"/>
      <c r="X54" s="164"/>
      <c r="Y54" s="164"/>
      <c r="Z54" s="164"/>
      <c r="AA54" s="164"/>
      <c r="AB54" s="171"/>
      <c r="AC54" s="171"/>
      <c r="AD54" s="171"/>
      <c r="AE54" s="171"/>
      <c r="AF54" s="234"/>
      <c r="AG54" s="171"/>
      <c r="AH54" s="171"/>
      <c r="AI54" s="164"/>
      <c r="AJ54" s="164"/>
      <c r="AK54" s="164"/>
      <c r="AL54" s="164"/>
      <c r="AM54" s="164"/>
      <c r="AN54" s="238"/>
      <c r="AO54" s="238"/>
      <c r="AP54" s="243"/>
      <c r="AQ54" s="243"/>
      <c r="AR54" s="243"/>
      <c r="AS54" s="172">
        <f t="shared" si="2"/>
        <v>0</v>
      </c>
      <c r="AU54" s="30">
        <f t="shared" si="5"/>
        <v>0</v>
      </c>
      <c r="AV54" s="30">
        <f t="shared" si="5"/>
        <v>0</v>
      </c>
      <c r="AW54" s="30">
        <f t="shared" si="5"/>
        <v>0</v>
      </c>
      <c r="AX54" s="30">
        <f t="shared" si="5"/>
        <v>0</v>
      </c>
      <c r="AY54" s="30">
        <f t="shared" si="5"/>
        <v>0</v>
      </c>
      <c r="AZ54" s="30">
        <f t="shared" si="5"/>
        <v>0</v>
      </c>
      <c r="BA54" s="30">
        <f t="shared" si="5"/>
        <v>0</v>
      </c>
      <c r="BB54" s="39">
        <f t="shared" si="4"/>
        <v>0</v>
      </c>
    </row>
    <row r="55" spans="1:54">
      <c r="A55" s="168">
        <v>2060</v>
      </c>
      <c r="B55" s="2">
        <v>143563</v>
      </c>
      <c r="C55" s="2" t="s">
        <v>257</v>
      </c>
      <c r="E55" s="164">
        <v>0</v>
      </c>
      <c r="F55" s="164"/>
      <c r="G55" s="164">
        <v>0</v>
      </c>
      <c r="H55" s="164">
        <v>0</v>
      </c>
      <c r="I55" s="164">
        <v>0</v>
      </c>
      <c r="J55" s="164">
        <v>0</v>
      </c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64"/>
      <c r="V55" s="164"/>
      <c r="W55" s="171"/>
      <c r="X55" s="164"/>
      <c r="Y55" s="164"/>
      <c r="Z55" s="164"/>
      <c r="AA55" s="164"/>
      <c r="AB55" s="171"/>
      <c r="AC55" s="171"/>
      <c r="AD55" s="171"/>
      <c r="AE55" s="171"/>
      <c r="AF55" s="234"/>
      <c r="AG55" s="171"/>
      <c r="AH55" s="171"/>
      <c r="AI55" s="164"/>
      <c r="AJ55" s="164"/>
      <c r="AK55" s="164"/>
      <c r="AL55" s="164"/>
      <c r="AM55" s="164"/>
      <c r="AN55" s="238"/>
      <c r="AO55" s="238"/>
      <c r="AP55" s="243"/>
      <c r="AQ55" s="243"/>
      <c r="AR55" s="243"/>
      <c r="AS55" s="172">
        <f t="shared" si="2"/>
        <v>0</v>
      </c>
      <c r="AU55" s="30">
        <f t="shared" si="5"/>
        <v>0</v>
      </c>
      <c r="AV55" s="30">
        <f t="shared" si="5"/>
        <v>0</v>
      </c>
      <c r="AW55" s="30">
        <f t="shared" si="5"/>
        <v>0</v>
      </c>
      <c r="AX55" s="30">
        <f t="shared" si="5"/>
        <v>0</v>
      </c>
      <c r="AY55" s="30">
        <f t="shared" si="5"/>
        <v>0</v>
      </c>
      <c r="AZ55" s="30">
        <f t="shared" si="5"/>
        <v>0</v>
      </c>
      <c r="BA55" s="30">
        <f t="shared" si="5"/>
        <v>0</v>
      </c>
      <c r="BB55" s="39">
        <f t="shared" si="4"/>
        <v>0</v>
      </c>
    </row>
    <row r="56" spans="1:54">
      <c r="A56" s="168">
        <v>4129</v>
      </c>
      <c r="B56" s="2">
        <v>143438</v>
      </c>
      <c r="C56" s="2" t="s">
        <v>258</v>
      </c>
      <c r="E56" s="164">
        <v>0</v>
      </c>
      <c r="F56" s="164"/>
      <c r="G56" s="164">
        <v>0</v>
      </c>
      <c r="H56" s="164">
        <v>0</v>
      </c>
      <c r="I56" s="164">
        <v>0</v>
      </c>
      <c r="J56" s="164">
        <v>0</v>
      </c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64"/>
      <c r="V56" s="164"/>
      <c r="W56" s="171"/>
      <c r="X56" s="164"/>
      <c r="Y56" s="164"/>
      <c r="Z56" s="164"/>
      <c r="AA56" s="164"/>
      <c r="AB56" s="171"/>
      <c r="AC56" s="171"/>
      <c r="AD56" s="171"/>
      <c r="AE56" s="171"/>
      <c r="AF56" s="234"/>
      <c r="AG56" s="171"/>
      <c r="AH56" s="171"/>
      <c r="AI56" s="164"/>
      <c r="AJ56" s="164"/>
      <c r="AK56" s="164"/>
      <c r="AL56" s="164"/>
      <c r="AM56" s="164"/>
      <c r="AN56" s="238"/>
      <c r="AO56" s="238"/>
      <c r="AP56" s="243"/>
      <c r="AQ56" s="243"/>
      <c r="AR56" s="243"/>
      <c r="AS56" s="172">
        <f t="shared" si="2"/>
        <v>0</v>
      </c>
      <c r="AU56" s="30">
        <f t="shared" si="5"/>
        <v>0</v>
      </c>
      <c r="AV56" s="30">
        <f t="shared" si="5"/>
        <v>0</v>
      </c>
      <c r="AW56" s="30">
        <f t="shared" si="5"/>
        <v>0</v>
      </c>
      <c r="AX56" s="30">
        <f t="shared" si="5"/>
        <v>0</v>
      </c>
      <c r="AY56" s="30">
        <f t="shared" si="5"/>
        <v>0</v>
      </c>
      <c r="AZ56" s="30">
        <f t="shared" si="5"/>
        <v>0</v>
      </c>
      <c r="BA56" s="30">
        <f t="shared" si="5"/>
        <v>0</v>
      </c>
      <c r="BB56" s="39">
        <f t="shared" si="4"/>
        <v>0</v>
      </c>
    </row>
    <row r="57" spans="1:54">
      <c r="A57" s="168">
        <v>2219</v>
      </c>
      <c r="B57" s="2">
        <v>150709</v>
      </c>
      <c r="C57" s="2" t="s">
        <v>150</v>
      </c>
      <c r="E57" s="164">
        <v>0</v>
      </c>
      <c r="F57" s="164"/>
      <c r="G57" s="164">
        <v>0</v>
      </c>
      <c r="H57" s="164">
        <v>0</v>
      </c>
      <c r="I57" s="164">
        <v>0</v>
      </c>
      <c r="J57" s="164">
        <v>0</v>
      </c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64"/>
      <c r="V57" s="164"/>
      <c r="W57" s="171"/>
      <c r="X57" s="164"/>
      <c r="Y57" s="164"/>
      <c r="Z57" s="164"/>
      <c r="AA57" s="164"/>
      <c r="AB57" s="171"/>
      <c r="AC57" s="171"/>
      <c r="AD57" s="171"/>
      <c r="AE57" s="171"/>
      <c r="AF57" s="234"/>
      <c r="AG57" s="171"/>
      <c r="AH57" s="171"/>
      <c r="AI57" s="164"/>
      <c r="AJ57" s="164"/>
      <c r="AK57" s="164"/>
      <c r="AL57" s="164"/>
      <c r="AM57" s="164"/>
      <c r="AN57" s="238"/>
      <c r="AO57" s="238"/>
      <c r="AP57" s="243"/>
      <c r="AQ57" s="243"/>
      <c r="AR57" s="243"/>
      <c r="AS57" s="172">
        <f t="shared" si="2"/>
        <v>0</v>
      </c>
      <c r="AU57" s="30">
        <f t="shared" si="5"/>
        <v>0</v>
      </c>
      <c r="AV57" s="30">
        <f t="shared" si="5"/>
        <v>0</v>
      </c>
      <c r="AW57" s="30">
        <f t="shared" si="5"/>
        <v>0</v>
      </c>
      <c r="AX57" s="30">
        <f t="shared" si="5"/>
        <v>0</v>
      </c>
      <c r="AY57" s="30">
        <f t="shared" si="5"/>
        <v>0</v>
      </c>
      <c r="AZ57" s="30">
        <f t="shared" si="5"/>
        <v>0</v>
      </c>
      <c r="BA57" s="30">
        <f t="shared" si="5"/>
        <v>0</v>
      </c>
      <c r="BB57" s="39">
        <f t="shared" si="4"/>
        <v>0</v>
      </c>
    </row>
    <row r="58" spans="1:54">
      <c r="A58" s="168">
        <v>2065</v>
      </c>
      <c r="B58" s="2">
        <v>138218</v>
      </c>
      <c r="C58" s="2" t="s">
        <v>259</v>
      </c>
      <c r="E58" s="164">
        <v>0</v>
      </c>
      <c r="F58" s="164"/>
      <c r="G58" s="164">
        <v>0</v>
      </c>
      <c r="H58" s="164">
        <v>0</v>
      </c>
      <c r="I58" s="164">
        <v>0</v>
      </c>
      <c r="J58" s="164">
        <v>0</v>
      </c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64"/>
      <c r="V58" s="164"/>
      <c r="W58" s="171"/>
      <c r="X58" s="164"/>
      <c r="Y58" s="164"/>
      <c r="Z58" s="164"/>
      <c r="AA58" s="164"/>
      <c r="AB58" s="171"/>
      <c r="AC58" s="171"/>
      <c r="AD58" s="171"/>
      <c r="AE58" s="171"/>
      <c r="AF58" s="234"/>
      <c r="AG58" s="171"/>
      <c r="AH58" s="171"/>
      <c r="AI58" s="164"/>
      <c r="AJ58" s="164"/>
      <c r="AK58" s="164"/>
      <c r="AL58" s="164"/>
      <c r="AM58" s="164"/>
      <c r="AN58" s="238"/>
      <c r="AO58" s="238"/>
      <c r="AP58" s="243"/>
      <c r="AQ58" s="243"/>
      <c r="AR58" s="243"/>
      <c r="AS58" s="172">
        <f t="shared" si="2"/>
        <v>0</v>
      </c>
      <c r="AU58" s="30">
        <f t="shared" si="5"/>
        <v>0</v>
      </c>
      <c r="AV58" s="30">
        <f t="shared" si="5"/>
        <v>0</v>
      </c>
      <c r="AW58" s="30">
        <f t="shared" si="5"/>
        <v>0</v>
      </c>
      <c r="AX58" s="30">
        <f t="shared" si="5"/>
        <v>0</v>
      </c>
      <c r="AY58" s="30">
        <f t="shared" si="5"/>
        <v>0</v>
      </c>
      <c r="AZ58" s="30">
        <f t="shared" si="5"/>
        <v>0</v>
      </c>
      <c r="BA58" s="30">
        <f t="shared" si="5"/>
        <v>0</v>
      </c>
      <c r="BB58" s="39">
        <f t="shared" si="4"/>
        <v>0</v>
      </c>
    </row>
    <row r="59" spans="1:54">
      <c r="A59" s="168">
        <v>6905</v>
      </c>
      <c r="B59" s="2">
        <v>135907</v>
      </c>
      <c r="C59" s="2" t="s">
        <v>260</v>
      </c>
      <c r="E59" s="164">
        <v>0</v>
      </c>
      <c r="F59" s="164"/>
      <c r="G59" s="164">
        <v>0</v>
      </c>
      <c r="H59" s="164">
        <v>0</v>
      </c>
      <c r="I59" s="164">
        <v>0</v>
      </c>
      <c r="J59" s="164">
        <v>0</v>
      </c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64"/>
      <c r="V59" s="164"/>
      <c r="W59" s="171"/>
      <c r="X59" s="164"/>
      <c r="Y59" s="164"/>
      <c r="Z59" s="164"/>
      <c r="AA59" s="164"/>
      <c r="AB59" s="171"/>
      <c r="AC59" s="171"/>
      <c r="AD59" s="171"/>
      <c r="AE59" s="171"/>
      <c r="AF59" s="234"/>
      <c r="AG59" s="171"/>
      <c r="AH59" s="171"/>
      <c r="AI59" s="164"/>
      <c r="AJ59" s="236"/>
      <c r="AK59" s="164"/>
      <c r="AL59" s="164"/>
      <c r="AM59" s="164"/>
      <c r="AN59" s="238"/>
      <c r="AO59" s="238"/>
      <c r="AP59" s="243"/>
      <c r="AQ59" s="243"/>
      <c r="AR59" s="243"/>
      <c r="AS59" s="172">
        <f t="shared" si="2"/>
        <v>0</v>
      </c>
      <c r="AU59" s="30">
        <f t="shared" si="5"/>
        <v>0</v>
      </c>
      <c r="AV59" s="30">
        <f t="shared" si="5"/>
        <v>0</v>
      </c>
      <c r="AW59" s="30">
        <f t="shared" si="5"/>
        <v>0</v>
      </c>
      <c r="AX59" s="30">
        <f t="shared" si="5"/>
        <v>0</v>
      </c>
      <c r="AY59" s="30">
        <f t="shared" si="5"/>
        <v>0</v>
      </c>
      <c r="AZ59" s="30">
        <f t="shared" si="5"/>
        <v>0</v>
      </c>
      <c r="BA59" s="30">
        <f t="shared" si="5"/>
        <v>0</v>
      </c>
      <c r="BB59" s="39">
        <f t="shared" si="4"/>
        <v>0</v>
      </c>
    </row>
    <row r="60" spans="1:54">
      <c r="A60" s="168">
        <v>2048</v>
      </c>
      <c r="B60" s="2">
        <v>138396</v>
      </c>
      <c r="C60" s="2" t="s">
        <v>261</v>
      </c>
      <c r="E60" s="164">
        <v>0</v>
      </c>
      <c r="F60" s="164"/>
      <c r="G60" s="164">
        <v>0</v>
      </c>
      <c r="H60" s="164">
        <v>0</v>
      </c>
      <c r="I60" s="164">
        <v>0</v>
      </c>
      <c r="J60" s="164">
        <v>0</v>
      </c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64"/>
      <c r="V60" s="164"/>
      <c r="W60" s="171"/>
      <c r="X60" s="164"/>
      <c r="Y60" s="164"/>
      <c r="Z60" s="164"/>
      <c r="AA60" s="164"/>
      <c r="AB60" s="171"/>
      <c r="AC60" s="171"/>
      <c r="AD60" s="171"/>
      <c r="AE60" s="171"/>
      <c r="AF60" s="234"/>
      <c r="AG60" s="171"/>
      <c r="AH60" s="171"/>
      <c r="AI60" s="164"/>
      <c r="AJ60" s="164"/>
      <c r="AK60" s="164"/>
      <c r="AL60" s="164"/>
      <c r="AM60" s="164"/>
      <c r="AN60" s="238"/>
      <c r="AO60" s="238"/>
      <c r="AP60" s="243"/>
      <c r="AQ60" s="243"/>
      <c r="AR60" s="243"/>
      <c r="AS60" s="172">
        <f t="shared" si="2"/>
        <v>0</v>
      </c>
      <c r="AU60" s="30">
        <f t="shared" si="5"/>
        <v>0</v>
      </c>
      <c r="AV60" s="30">
        <f t="shared" si="5"/>
        <v>0</v>
      </c>
      <c r="AW60" s="30">
        <f t="shared" si="5"/>
        <v>0</v>
      </c>
      <c r="AX60" s="30">
        <f t="shared" si="5"/>
        <v>0</v>
      </c>
      <c r="AY60" s="30">
        <f t="shared" si="5"/>
        <v>0</v>
      </c>
      <c r="AZ60" s="30">
        <f t="shared" si="5"/>
        <v>0</v>
      </c>
      <c r="BA60" s="30">
        <f t="shared" si="5"/>
        <v>0</v>
      </c>
      <c r="BB60" s="39">
        <f t="shared" si="4"/>
        <v>0</v>
      </c>
    </row>
    <row r="61" spans="1:54">
      <c r="A61" s="168">
        <v>6909</v>
      </c>
      <c r="B61" s="2">
        <v>136032</v>
      </c>
      <c r="C61" s="2" t="s">
        <v>262</v>
      </c>
      <c r="E61" s="164">
        <v>0</v>
      </c>
      <c r="F61" s="164"/>
      <c r="G61" s="164">
        <v>0</v>
      </c>
      <c r="H61" s="164">
        <v>0</v>
      </c>
      <c r="I61" s="164">
        <v>0</v>
      </c>
      <c r="J61" s="164">
        <v>0</v>
      </c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64"/>
      <c r="V61" s="164"/>
      <c r="W61" s="171"/>
      <c r="X61" s="164"/>
      <c r="Y61" s="164"/>
      <c r="Z61" s="164"/>
      <c r="AA61" s="164"/>
      <c r="AB61" s="171"/>
      <c r="AC61" s="171"/>
      <c r="AD61" s="171"/>
      <c r="AE61" s="171"/>
      <c r="AF61" s="234"/>
      <c r="AG61" s="171"/>
      <c r="AH61" s="171"/>
      <c r="AI61" s="164"/>
      <c r="AJ61" s="164"/>
      <c r="AK61" s="164"/>
      <c r="AL61" s="164"/>
      <c r="AM61" s="164"/>
      <c r="AN61" s="238"/>
      <c r="AO61" s="238"/>
      <c r="AP61" s="243"/>
      <c r="AQ61" s="243"/>
      <c r="AR61" s="243"/>
      <c r="AS61" s="172">
        <f t="shared" si="2"/>
        <v>0</v>
      </c>
      <c r="AU61" s="30">
        <f t="shared" si="5"/>
        <v>0</v>
      </c>
      <c r="AV61" s="30">
        <f t="shared" si="5"/>
        <v>0</v>
      </c>
      <c r="AW61" s="30">
        <f t="shared" si="5"/>
        <v>0</v>
      </c>
      <c r="AX61" s="30">
        <f t="shared" si="5"/>
        <v>0</v>
      </c>
      <c r="AY61" s="30">
        <f t="shared" si="5"/>
        <v>0</v>
      </c>
      <c r="AZ61" s="30">
        <f t="shared" si="5"/>
        <v>0</v>
      </c>
      <c r="BA61" s="30">
        <f t="shared" si="5"/>
        <v>0</v>
      </c>
      <c r="BB61" s="39">
        <f t="shared" si="4"/>
        <v>0</v>
      </c>
    </row>
    <row r="62" spans="1:54">
      <c r="A62" s="168">
        <v>6907</v>
      </c>
      <c r="B62" s="2">
        <v>135911</v>
      </c>
      <c r="C62" s="2" t="s">
        <v>263</v>
      </c>
      <c r="E62" s="164">
        <v>0</v>
      </c>
      <c r="F62" s="164"/>
      <c r="G62" s="164">
        <v>0</v>
      </c>
      <c r="H62" s="164">
        <v>0</v>
      </c>
      <c r="I62" s="164">
        <v>0</v>
      </c>
      <c r="J62" s="164">
        <v>0</v>
      </c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64"/>
      <c r="V62" s="164"/>
      <c r="W62" s="171"/>
      <c r="X62" s="164"/>
      <c r="Y62" s="164"/>
      <c r="Z62" s="164"/>
      <c r="AA62" s="164"/>
      <c r="AB62" s="171"/>
      <c r="AC62" s="171"/>
      <c r="AD62" s="171"/>
      <c r="AE62" s="171"/>
      <c r="AF62" s="234"/>
      <c r="AG62" s="171"/>
      <c r="AH62" s="171"/>
      <c r="AI62" s="164"/>
      <c r="AJ62" s="164"/>
      <c r="AK62" s="164"/>
      <c r="AL62" s="164"/>
      <c r="AM62" s="164"/>
      <c r="AN62" s="238"/>
      <c r="AO62" s="238"/>
      <c r="AP62" s="243"/>
      <c r="AQ62" s="243"/>
      <c r="AR62" s="243"/>
      <c r="AS62" s="172">
        <f t="shared" si="2"/>
        <v>0</v>
      </c>
      <c r="AU62" s="30">
        <f t="shared" si="5"/>
        <v>0</v>
      </c>
      <c r="AV62" s="30">
        <f t="shared" si="5"/>
        <v>0</v>
      </c>
      <c r="AW62" s="30">
        <f t="shared" si="5"/>
        <v>0</v>
      </c>
      <c r="AX62" s="30">
        <f t="shared" si="5"/>
        <v>0</v>
      </c>
      <c r="AY62" s="30">
        <f t="shared" si="5"/>
        <v>0</v>
      </c>
      <c r="AZ62" s="30">
        <f t="shared" si="5"/>
        <v>0</v>
      </c>
      <c r="BA62" s="30">
        <f t="shared" si="5"/>
        <v>0</v>
      </c>
      <c r="BB62" s="39">
        <f t="shared" si="4"/>
        <v>0</v>
      </c>
    </row>
    <row r="63" spans="1:54">
      <c r="A63" s="168">
        <v>1105</v>
      </c>
      <c r="B63" s="2">
        <v>138775</v>
      </c>
      <c r="C63" s="2" t="s">
        <v>264</v>
      </c>
      <c r="E63" s="164">
        <v>154864.04241249061</v>
      </c>
      <c r="F63" s="164"/>
      <c r="G63" s="164">
        <v>37396.57872362229</v>
      </c>
      <c r="H63" s="164">
        <v>25559.35</v>
      </c>
      <c r="I63" s="164">
        <v>979.37</v>
      </c>
      <c r="J63" s="164">
        <v>1306.55</v>
      </c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64"/>
      <c r="V63" s="164"/>
      <c r="W63" s="171"/>
      <c r="X63" s="164"/>
      <c r="Y63" s="164"/>
      <c r="Z63" s="164"/>
      <c r="AA63" s="164"/>
      <c r="AB63" s="171"/>
      <c r="AC63" s="171"/>
      <c r="AD63" s="171"/>
      <c r="AE63" s="171"/>
      <c r="AF63" s="234"/>
      <c r="AG63" s="171"/>
      <c r="AH63" s="171"/>
      <c r="AI63" s="164"/>
      <c r="AJ63" s="164"/>
      <c r="AK63" s="164"/>
      <c r="AL63" s="164"/>
      <c r="AM63" s="164"/>
      <c r="AN63" s="238"/>
      <c r="AO63" s="238"/>
      <c r="AP63" s="243"/>
      <c r="AQ63" s="243"/>
      <c r="AR63" s="243"/>
      <c r="AS63" s="172">
        <f t="shared" si="2"/>
        <v>220105.89113611288</v>
      </c>
      <c r="AU63" s="30">
        <f t="shared" si="5"/>
        <v>2285.92</v>
      </c>
      <c r="AV63" s="30">
        <f t="shared" si="5"/>
        <v>0</v>
      </c>
      <c r="AW63" s="30">
        <f t="shared" si="5"/>
        <v>217819.9711361129</v>
      </c>
      <c r="AX63" s="30">
        <f t="shared" si="5"/>
        <v>0</v>
      </c>
      <c r="AY63" s="30">
        <f t="shared" si="5"/>
        <v>0</v>
      </c>
      <c r="AZ63" s="30">
        <f t="shared" si="5"/>
        <v>0</v>
      </c>
      <c r="BA63" s="30">
        <f t="shared" si="5"/>
        <v>0</v>
      </c>
      <c r="BB63" s="39">
        <f t="shared" si="4"/>
        <v>0</v>
      </c>
    </row>
    <row r="64" spans="1:54">
      <c r="A64" s="168">
        <v>1110</v>
      </c>
      <c r="B64" s="2">
        <v>141739</v>
      </c>
      <c r="C64" s="2" t="s">
        <v>265</v>
      </c>
      <c r="E64" s="164">
        <v>161058.60410899023</v>
      </c>
      <c r="F64" s="164"/>
      <c r="G64" s="164">
        <v>38892.441872567186</v>
      </c>
      <c r="H64" s="164">
        <v>26581.73</v>
      </c>
      <c r="I64" s="164">
        <v>1018.54</v>
      </c>
      <c r="J64" s="164">
        <v>1358.82</v>
      </c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64"/>
      <c r="V64" s="164"/>
      <c r="W64" s="171"/>
      <c r="X64" s="164"/>
      <c r="Y64" s="164"/>
      <c r="Z64" s="164"/>
      <c r="AA64" s="164"/>
      <c r="AB64" s="171"/>
      <c r="AC64" s="171"/>
      <c r="AD64" s="171"/>
      <c r="AE64" s="171"/>
      <c r="AF64" s="234"/>
      <c r="AG64" s="171"/>
      <c r="AH64" s="171"/>
      <c r="AI64" s="164"/>
      <c r="AJ64" s="164"/>
      <c r="AK64" s="164"/>
      <c r="AL64" s="164"/>
      <c r="AM64" s="164"/>
      <c r="AN64" s="238"/>
      <c r="AO64" s="238"/>
      <c r="AP64" s="243"/>
      <c r="AQ64" s="243"/>
      <c r="AR64" s="243"/>
      <c r="AS64" s="172">
        <f t="shared" si="2"/>
        <v>228910.13598155743</v>
      </c>
      <c r="AU64" s="30">
        <f t="shared" si="5"/>
        <v>2377.3599999999997</v>
      </c>
      <c r="AV64" s="30">
        <f t="shared" si="5"/>
        <v>0</v>
      </c>
      <c r="AW64" s="30">
        <f t="shared" si="5"/>
        <v>226532.77598155741</v>
      </c>
      <c r="AX64" s="30">
        <f t="shared" si="5"/>
        <v>0</v>
      </c>
      <c r="AY64" s="30">
        <f t="shared" si="5"/>
        <v>0</v>
      </c>
      <c r="AZ64" s="30">
        <f t="shared" si="5"/>
        <v>0</v>
      </c>
      <c r="BA64" s="30">
        <f t="shared" si="5"/>
        <v>0</v>
      </c>
      <c r="BB64" s="39">
        <f t="shared" si="4"/>
        <v>0</v>
      </c>
    </row>
    <row r="65" spans="1:54">
      <c r="A65" s="168">
        <v>4032</v>
      </c>
      <c r="B65" s="2">
        <v>145878</v>
      </c>
      <c r="C65" s="2" t="s">
        <v>266</v>
      </c>
      <c r="E65" s="164">
        <v>0</v>
      </c>
      <c r="F65" s="164"/>
      <c r="G65" s="164">
        <v>0</v>
      </c>
      <c r="H65" s="164">
        <v>0</v>
      </c>
      <c r="I65" s="164">
        <v>0</v>
      </c>
      <c r="J65" s="164">
        <v>0</v>
      </c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64"/>
      <c r="V65" s="164"/>
      <c r="W65" s="171"/>
      <c r="X65" s="164"/>
      <c r="Y65" s="164"/>
      <c r="Z65" s="164"/>
      <c r="AA65" s="164"/>
      <c r="AB65" s="171"/>
      <c r="AC65" s="171"/>
      <c r="AD65" s="171"/>
      <c r="AE65" s="171"/>
      <c r="AF65" s="234"/>
      <c r="AG65" s="171"/>
      <c r="AH65" s="171"/>
      <c r="AI65" s="164"/>
      <c r="AJ65" s="164"/>
      <c r="AK65" s="164"/>
      <c r="AL65" s="164"/>
      <c r="AM65" s="164"/>
      <c r="AN65" s="238"/>
      <c r="AO65" s="238"/>
      <c r="AP65" s="243"/>
      <c r="AQ65" s="243"/>
      <c r="AR65" s="243"/>
      <c r="AS65" s="172">
        <f t="shared" si="2"/>
        <v>0</v>
      </c>
      <c r="AU65" s="30">
        <f t="shared" si="5"/>
        <v>0</v>
      </c>
      <c r="AV65" s="30">
        <f t="shared" si="5"/>
        <v>0</v>
      </c>
      <c r="AW65" s="30">
        <f t="shared" si="5"/>
        <v>0</v>
      </c>
      <c r="AX65" s="30">
        <f t="shared" si="5"/>
        <v>0</v>
      </c>
      <c r="AY65" s="30">
        <f t="shared" si="5"/>
        <v>0</v>
      </c>
      <c r="AZ65" s="30">
        <f t="shared" ref="AV65:BA69" si="6">SUMIF($E$3:$AR$3,AZ$6,$E65:$AR65)</f>
        <v>0</v>
      </c>
      <c r="BA65" s="30">
        <f t="shared" si="6"/>
        <v>0</v>
      </c>
      <c r="BB65" s="39">
        <f t="shared" si="4"/>
        <v>0</v>
      </c>
    </row>
    <row r="66" spans="1:54">
      <c r="A66" s="168">
        <v>4021</v>
      </c>
      <c r="B66" s="2">
        <v>141969</v>
      </c>
      <c r="C66" s="2" t="s">
        <v>267</v>
      </c>
      <c r="E66" s="164">
        <v>0</v>
      </c>
      <c r="F66" s="164"/>
      <c r="G66" s="164">
        <v>0</v>
      </c>
      <c r="H66" s="164">
        <v>0</v>
      </c>
      <c r="I66" s="164">
        <v>0</v>
      </c>
      <c r="J66" s="164">
        <v>0</v>
      </c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64"/>
      <c r="V66" s="164"/>
      <c r="W66" s="171"/>
      <c r="X66" s="164"/>
      <c r="Y66" s="164"/>
      <c r="Z66" s="164"/>
      <c r="AA66" s="164"/>
      <c r="AB66" s="171"/>
      <c r="AC66" s="171"/>
      <c r="AD66" s="171"/>
      <c r="AE66" s="171"/>
      <c r="AF66" s="234"/>
      <c r="AG66" s="171"/>
      <c r="AH66" s="171"/>
      <c r="AI66" s="164"/>
      <c r="AJ66" s="164"/>
      <c r="AK66" s="164"/>
      <c r="AL66" s="164"/>
      <c r="AM66" s="164"/>
      <c r="AN66" s="238"/>
      <c r="AO66" s="238"/>
      <c r="AP66" s="243"/>
      <c r="AQ66" s="243"/>
      <c r="AR66" s="243"/>
      <c r="AS66" s="172">
        <f t="shared" si="2"/>
        <v>0</v>
      </c>
      <c r="AU66" s="30">
        <f t="shared" ref="AU66:AU69" si="7">SUMIF($E$3:$AR$3,AU$6,$E66:$AR66)</f>
        <v>0</v>
      </c>
      <c r="AV66" s="30">
        <f t="shared" si="6"/>
        <v>0</v>
      </c>
      <c r="AW66" s="30">
        <f t="shared" si="6"/>
        <v>0</v>
      </c>
      <c r="AX66" s="30">
        <f t="shared" si="6"/>
        <v>0</v>
      </c>
      <c r="AY66" s="30">
        <f t="shared" si="6"/>
        <v>0</v>
      </c>
      <c r="AZ66" s="30">
        <f t="shared" si="6"/>
        <v>0</v>
      </c>
      <c r="BA66" s="30">
        <f t="shared" si="6"/>
        <v>0</v>
      </c>
      <c r="BB66" s="39">
        <f t="shared" si="4"/>
        <v>0</v>
      </c>
    </row>
    <row r="67" spans="1:54">
      <c r="A67" s="168">
        <v>4035</v>
      </c>
      <c r="B67" s="2">
        <v>147201</v>
      </c>
      <c r="C67" s="2" t="s">
        <v>268</v>
      </c>
      <c r="E67" s="164">
        <v>0</v>
      </c>
      <c r="F67" s="164"/>
      <c r="G67" s="164">
        <v>0</v>
      </c>
      <c r="H67" s="164">
        <v>0</v>
      </c>
      <c r="I67" s="164">
        <v>0</v>
      </c>
      <c r="J67" s="164">
        <v>0</v>
      </c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64"/>
      <c r="V67" s="164"/>
      <c r="W67" s="171"/>
      <c r="X67" s="164"/>
      <c r="Y67" s="164"/>
      <c r="Z67" s="164"/>
      <c r="AA67" s="164"/>
      <c r="AB67" s="171"/>
      <c r="AC67" s="171"/>
      <c r="AD67" s="171"/>
      <c r="AE67" s="171"/>
      <c r="AF67" s="234"/>
      <c r="AG67" s="171"/>
      <c r="AH67" s="171"/>
      <c r="AI67" s="164"/>
      <c r="AJ67" s="164"/>
      <c r="AK67" s="164"/>
      <c r="AL67" s="164"/>
      <c r="AM67" s="164"/>
      <c r="AN67" s="238"/>
      <c r="AO67" s="238"/>
      <c r="AP67" s="243"/>
      <c r="AQ67" s="243"/>
      <c r="AR67" s="243"/>
      <c r="AS67" s="172">
        <f t="shared" si="2"/>
        <v>0</v>
      </c>
      <c r="AU67" s="30">
        <f t="shared" si="7"/>
        <v>0</v>
      </c>
      <c r="AV67" s="30">
        <f t="shared" si="6"/>
        <v>0</v>
      </c>
      <c r="AW67" s="30">
        <f t="shared" si="6"/>
        <v>0</v>
      </c>
      <c r="AX67" s="30">
        <f t="shared" si="6"/>
        <v>0</v>
      </c>
      <c r="AY67" s="30">
        <f t="shared" si="6"/>
        <v>0</v>
      </c>
      <c r="AZ67" s="30">
        <f t="shared" si="6"/>
        <v>0</v>
      </c>
      <c r="BA67" s="30">
        <f t="shared" si="6"/>
        <v>0</v>
      </c>
      <c r="BB67" s="39">
        <f t="shared" si="4"/>
        <v>0</v>
      </c>
    </row>
    <row r="68" spans="1:54">
      <c r="A68" s="168">
        <v>2168</v>
      </c>
      <c r="B68" s="2">
        <v>143413</v>
      </c>
      <c r="C68" s="2" t="s">
        <v>269</v>
      </c>
      <c r="E68" s="164">
        <v>0</v>
      </c>
      <c r="F68" s="164"/>
      <c r="G68" s="164">
        <v>0</v>
      </c>
      <c r="H68" s="164">
        <v>0</v>
      </c>
      <c r="I68" s="164">
        <v>0</v>
      </c>
      <c r="J68" s="164">
        <v>0</v>
      </c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64"/>
      <c r="V68" s="164"/>
      <c r="W68" s="171"/>
      <c r="X68" s="164"/>
      <c r="Y68" s="164"/>
      <c r="Z68" s="164"/>
      <c r="AA68" s="164"/>
      <c r="AB68" s="171"/>
      <c r="AC68" s="171"/>
      <c r="AD68" s="171"/>
      <c r="AE68" s="171"/>
      <c r="AF68" s="234"/>
      <c r="AG68" s="171"/>
      <c r="AH68" s="171"/>
      <c r="AI68" s="164"/>
      <c r="AJ68" s="164"/>
      <c r="AK68" s="164"/>
      <c r="AL68" s="164"/>
      <c r="AM68" s="164"/>
      <c r="AN68" s="238"/>
      <c r="AO68" s="238"/>
      <c r="AP68" s="243"/>
      <c r="AQ68" s="243"/>
      <c r="AR68" s="243"/>
      <c r="AS68" s="172">
        <f t="shared" si="2"/>
        <v>0</v>
      </c>
      <c r="AU68" s="30">
        <f t="shared" si="7"/>
        <v>0</v>
      </c>
      <c r="AV68" s="30">
        <f t="shared" si="6"/>
        <v>0</v>
      </c>
      <c r="AW68" s="30">
        <f t="shared" si="6"/>
        <v>0</v>
      </c>
      <c r="AX68" s="30">
        <f t="shared" si="6"/>
        <v>0</v>
      </c>
      <c r="AY68" s="30">
        <f t="shared" si="6"/>
        <v>0</v>
      </c>
      <c r="AZ68" s="30">
        <f t="shared" si="6"/>
        <v>0</v>
      </c>
      <c r="BA68" s="30">
        <f t="shared" si="6"/>
        <v>0</v>
      </c>
      <c r="BB68" s="39">
        <f t="shared" si="4"/>
        <v>0</v>
      </c>
    </row>
    <row r="69" spans="1:54">
      <c r="A69" s="168">
        <v>2036</v>
      </c>
      <c r="B69" s="2">
        <v>138194</v>
      </c>
      <c r="C69" s="2" t="s">
        <v>270</v>
      </c>
      <c r="E69" s="164">
        <v>0</v>
      </c>
      <c r="F69" s="164"/>
      <c r="G69" s="164">
        <v>0</v>
      </c>
      <c r="H69" s="164">
        <v>0</v>
      </c>
      <c r="I69" s="164">
        <v>0</v>
      </c>
      <c r="J69" s="164">
        <v>0</v>
      </c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64"/>
      <c r="V69" s="164"/>
      <c r="W69" s="171"/>
      <c r="X69" s="164"/>
      <c r="Y69" s="164"/>
      <c r="Z69" s="164"/>
      <c r="AA69" s="164"/>
      <c r="AB69" s="171"/>
      <c r="AC69" s="171"/>
      <c r="AD69" s="171"/>
      <c r="AE69" s="171"/>
      <c r="AF69" s="234"/>
      <c r="AG69" s="171"/>
      <c r="AH69" s="171"/>
      <c r="AI69" s="164"/>
      <c r="AJ69" s="164"/>
      <c r="AK69" s="164"/>
      <c r="AL69" s="164"/>
      <c r="AM69" s="164"/>
      <c r="AN69" s="238"/>
      <c r="AO69" s="238"/>
      <c r="AP69" s="243"/>
      <c r="AQ69" s="243"/>
      <c r="AR69" s="243"/>
      <c r="AS69" s="172">
        <f t="shared" si="2"/>
        <v>0</v>
      </c>
      <c r="AU69" s="30">
        <f t="shared" si="7"/>
        <v>0</v>
      </c>
      <c r="AV69" s="30">
        <f t="shared" si="6"/>
        <v>0</v>
      </c>
      <c r="AW69" s="30">
        <f t="shared" si="6"/>
        <v>0</v>
      </c>
      <c r="AX69" s="30">
        <f t="shared" si="6"/>
        <v>0</v>
      </c>
      <c r="AY69" s="30">
        <f t="shared" si="6"/>
        <v>0</v>
      </c>
      <c r="AZ69" s="30">
        <f t="shared" si="6"/>
        <v>0</v>
      </c>
      <c r="BA69" s="30">
        <f t="shared" si="6"/>
        <v>0</v>
      </c>
      <c r="BB69" s="39">
        <f t="shared" si="4"/>
        <v>0</v>
      </c>
    </row>
    <row r="70" spans="1:54">
      <c r="A70" s="168">
        <v>5410</v>
      </c>
      <c r="B70" s="2">
        <v>136908</v>
      </c>
      <c r="C70" s="2" t="s">
        <v>271</v>
      </c>
      <c r="E70" s="164">
        <v>0</v>
      </c>
      <c r="F70" s="164"/>
      <c r="G70" s="164">
        <v>0</v>
      </c>
      <c r="H70" s="164">
        <v>0</v>
      </c>
      <c r="I70" s="164">
        <v>0</v>
      </c>
      <c r="J70" s="164">
        <v>0</v>
      </c>
      <c r="K70" s="171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47"/>
      <c r="AG70" s="163"/>
      <c r="AH70" s="163"/>
      <c r="AI70" s="163"/>
      <c r="AJ70" s="163"/>
      <c r="AK70" s="163"/>
      <c r="AL70" s="163"/>
      <c r="AM70" s="163"/>
      <c r="AN70" s="239"/>
      <c r="AO70" s="239"/>
      <c r="AP70" s="242"/>
      <c r="AQ70" s="242"/>
      <c r="AR70" s="242"/>
      <c r="AS70" s="166">
        <f t="shared" ref="AS70:AS133" si="8">SUM(E70:AR70)</f>
        <v>0</v>
      </c>
      <c r="AU70" s="30">
        <f t="shared" ref="AU70:BA85" si="9">SUMIF($E$3:$AR$3,AU$6,$E70:$AR70)</f>
        <v>0</v>
      </c>
      <c r="AV70" s="30">
        <f t="shared" si="9"/>
        <v>0</v>
      </c>
      <c r="AW70" s="30">
        <f t="shared" si="9"/>
        <v>0</v>
      </c>
      <c r="AX70" s="30">
        <f t="shared" si="9"/>
        <v>0</v>
      </c>
      <c r="AY70" s="30">
        <f t="shared" si="9"/>
        <v>0</v>
      </c>
      <c r="AZ70" s="30">
        <f t="shared" si="9"/>
        <v>0</v>
      </c>
      <c r="BA70" s="30">
        <f t="shared" si="9"/>
        <v>0</v>
      </c>
      <c r="BB70" s="39">
        <f t="shared" si="4"/>
        <v>0</v>
      </c>
    </row>
    <row r="71" spans="1:54">
      <c r="A71" s="168">
        <v>2310</v>
      </c>
      <c r="B71" s="2">
        <v>139484</v>
      </c>
      <c r="C71" s="2" t="s">
        <v>272</v>
      </c>
      <c r="E71" s="164">
        <v>0</v>
      </c>
      <c r="F71" s="164"/>
      <c r="G71" s="164">
        <v>0</v>
      </c>
      <c r="H71" s="164">
        <v>0</v>
      </c>
      <c r="I71" s="164">
        <v>0</v>
      </c>
      <c r="J71" s="164">
        <v>0</v>
      </c>
      <c r="K71" s="171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47"/>
      <c r="AG71" s="163"/>
      <c r="AH71" s="163"/>
      <c r="AI71" s="163"/>
      <c r="AJ71" s="163"/>
      <c r="AK71" s="163"/>
      <c r="AL71" s="163"/>
      <c r="AM71" s="163"/>
      <c r="AN71" s="239"/>
      <c r="AO71" s="239"/>
      <c r="AP71" s="242"/>
      <c r="AQ71" s="242"/>
      <c r="AR71" s="242"/>
      <c r="AS71" s="166">
        <f t="shared" si="8"/>
        <v>0</v>
      </c>
      <c r="AU71" s="30">
        <f t="shared" si="9"/>
        <v>0</v>
      </c>
      <c r="AV71" s="30">
        <f t="shared" si="9"/>
        <v>0</v>
      </c>
      <c r="AW71" s="30">
        <f t="shared" si="9"/>
        <v>0</v>
      </c>
      <c r="AX71" s="30">
        <f t="shared" si="9"/>
        <v>0</v>
      </c>
      <c r="AY71" s="30">
        <f t="shared" si="9"/>
        <v>0</v>
      </c>
      <c r="AZ71" s="30">
        <f t="shared" si="9"/>
        <v>0</v>
      </c>
      <c r="BA71" s="30">
        <f t="shared" si="9"/>
        <v>0</v>
      </c>
      <c r="BB71" s="39">
        <f t="shared" ref="BB71:BB102" si="10">SUM(AU71:BA71)-AS71</f>
        <v>0</v>
      </c>
    </row>
    <row r="72" spans="1:54">
      <c r="A72" s="168">
        <v>2475</v>
      </c>
      <c r="B72" s="2">
        <v>143089</v>
      </c>
      <c r="C72" s="2" t="s">
        <v>273</v>
      </c>
      <c r="E72" s="164">
        <v>0</v>
      </c>
      <c r="F72" s="164"/>
      <c r="G72" s="164">
        <v>0</v>
      </c>
      <c r="H72" s="164">
        <v>0</v>
      </c>
      <c r="I72" s="164">
        <v>0</v>
      </c>
      <c r="J72" s="164">
        <v>0</v>
      </c>
      <c r="K72" s="171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47"/>
      <c r="AG72" s="163"/>
      <c r="AH72" s="163"/>
      <c r="AI72" s="163"/>
      <c r="AJ72" s="163"/>
      <c r="AK72" s="163"/>
      <c r="AL72" s="163"/>
      <c r="AM72" s="163"/>
      <c r="AN72" s="239"/>
      <c r="AO72" s="239"/>
      <c r="AP72" s="242"/>
      <c r="AQ72" s="242"/>
      <c r="AR72" s="242"/>
      <c r="AS72" s="166">
        <f t="shared" si="8"/>
        <v>0</v>
      </c>
      <c r="AU72" s="30">
        <f t="shared" si="9"/>
        <v>0</v>
      </c>
      <c r="AV72" s="30">
        <f t="shared" si="9"/>
        <v>0</v>
      </c>
      <c r="AW72" s="30">
        <f t="shared" si="9"/>
        <v>0</v>
      </c>
      <c r="AX72" s="30">
        <f t="shared" si="9"/>
        <v>0</v>
      </c>
      <c r="AY72" s="30">
        <f t="shared" si="9"/>
        <v>0</v>
      </c>
      <c r="AZ72" s="30">
        <f t="shared" si="9"/>
        <v>0</v>
      </c>
      <c r="BA72" s="30">
        <f t="shared" si="9"/>
        <v>0</v>
      </c>
      <c r="BB72" s="39">
        <f t="shared" si="10"/>
        <v>0</v>
      </c>
    </row>
    <row r="73" spans="1:54">
      <c r="A73" s="168">
        <v>5403</v>
      </c>
      <c r="B73" s="2">
        <v>143435</v>
      </c>
      <c r="C73" s="2" t="s">
        <v>274</v>
      </c>
      <c r="E73" s="164">
        <v>0</v>
      </c>
      <c r="F73" s="164"/>
      <c r="G73" s="164">
        <v>0</v>
      </c>
      <c r="H73" s="164">
        <v>0</v>
      </c>
      <c r="I73" s="164">
        <v>0</v>
      </c>
      <c r="J73" s="164">
        <v>0</v>
      </c>
      <c r="K73" s="171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47"/>
      <c r="AG73" s="163"/>
      <c r="AH73" s="163"/>
      <c r="AI73" s="163"/>
      <c r="AJ73" s="163"/>
      <c r="AK73" s="163"/>
      <c r="AL73" s="163"/>
      <c r="AM73" s="163"/>
      <c r="AN73" s="239"/>
      <c r="AO73" s="239"/>
      <c r="AP73" s="242"/>
      <c r="AQ73" s="242"/>
      <c r="AR73" s="242"/>
      <c r="AS73" s="166">
        <f t="shared" si="8"/>
        <v>0</v>
      </c>
      <c r="AU73" s="30">
        <f t="shared" si="9"/>
        <v>0</v>
      </c>
      <c r="AV73" s="30">
        <f t="shared" si="9"/>
        <v>0</v>
      </c>
      <c r="AW73" s="30">
        <f t="shared" si="9"/>
        <v>0</v>
      </c>
      <c r="AX73" s="30">
        <f t="shared" si="9"/>
        <v>0</v>
      </c>
      <c r="AY73" s="30">
        <f t="shared" si="9"/>
        <v>0</v>
      </c>
      <c r="AZ73" s="30">
        <f t="shared" si="9"/>
        <v>0</v>
      </c>
      <c r="BA73" s="30">
        <f t="shared" si="9"/>
        <v>0</v>
      </c>
      <c r="BB73" s="39">
        <f t="shared" si="10"/>
        <v>0</v>
      </c>
    </row>
    <row r="74" spans="1:54">
      <c r="A74" s="168">
        <v>4005</v>
      </c>
      <c r="B74" s="2">
        <v>139047</v>
      </c>
      <c r="C74" s="2" t="s">
        <v>275</v>
      </c>
      <c r="E74" s="164">
        <v>0</v>
      </c>
      <c r="F74" s="164"/>
      <c r="G74" s="164">
        <v>0</v>
      </c>
      <c r="H74" s="164">
        <v>0</v>
      </c>
      <c r="I74" s="164">
        <v>0</v>
      </c>
      <c r="J74" s="164">
        <v>0</v>
      </c>
      <c r="K74" s="171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47"/>
      <c r="AG74" s="163"/>
      <c r="AH74" s="163"/>
      <c r="AI74" s="163"/>
      <c r="AJ74" s="163"/>
      <c r="AK74" s="163"/>
      <c r="AL74" s="163"/>
      <c r="AM74" s="163"/>
      <c r="AN74" s="239"/>
      <c r="AO74" s="239"/>
      <c r="AP74" s="242"/>
      <c r="AQ74" s="242"/>
      <c r="AR74" s="242"/>
      <c r="AS74" s="166">
        <f t="shared" si="8"/>
        <v>0</v>
      </c>
      <c r="AU74" s="30">
        <f t="shared" si="9"/>
        <v>0</v>
      </c>
      <c r="AV74" s="30">
        <f t="shared" si="9"/>
        <v>0</v>
      </c>
      <c r="AW74" s="30">
        <f t="shared" si="9"/>
        <v>0</v>
      </c>
      <c r="AX74" s="30">
        <f t="shared" si="9"/>
        <v>0</v>
      </c>
      <c r="AY74" s="30">
        <f t="shared" si="9"/>
        <v>0</v>
      </c>
      <c r="AZ74" s="30">
        <f t="shared" si="9"/>
        <v>0</v>
      </c>
      <c r="BA74" s="30">
        <f t="shared" si="9"/>
        <v>0</v>
      </c>
      <c r="BB74" s="39">
        <f t="shared" si="10"/>
        <v>0</v>
      </c>
    </row>
    <row r="75" spans="1:54">
      <c r="A75" s="168">
        <v>2109</v>
      </c>
      <c r="B75" s="2">
        <v>139131</v>
      </c>
      <c r="C75" s="2" t="s">
        <v>276</v>
      </c>
      <c r="E75" s="164">
        <v>0</v>
      </c>
      <c r="F75" s="164"/>
      <c r="G75" s="164">
        <v>0</v>
      </c>
      <c r="H75" s="164">
        <v>0</v>
      </c>
      <c r="I75" s="164">
        <v>0</v>
      </c>
      <c r="J75" s="164">
        <v>0</v>
      </c>
      <c r="K75" s="171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47"/>
      <c r="AG75" s="163"/>
      <c r="AH75" s="163"/>
      <c r="AI75" s="163"/>
      <c r="AJ75" s="163"/>
      <c r="AK75" s="163"/>
      <c r="AL75" s="163"/>
      <c r="AM75" s="163"/>
      <c r="AN75" s="239"/>
      <c r="AO75" s="239"/>
      <c r="AP75" s="242"/>
      <c r="AQ75" s="242"/>
      <c r="AR75" s="242"/>
      <c r="AS75" s="166">
        <f t="shared" si="8"/>
        <v>0</v>
      </c>
      <c r="AU75" s="30">
        <f t="shared" si="9"/>
        <v>0</v>
      </c>
      <c r="AV75" s="30">
        <f t="shared" si="9"/>
        <v>0</v>
      </c>
      <c r="AW75" s="30">
        <f t="shared" si="9"/>
        <v>0</v>
      </c>
      <c r="AX75" s="30">
        <f t="shared" si="9"/>
        <v>0</v>
      </c>
      <c r="AY75" s="30">
        <f t="shared" si="9"/>
        <v>0</v>
      </c>
      <c r="AZ75" s="30">
        <f t="shared" si="9"/>
        <v>0</v>
      </c>
      <c r="BA75" s="30">
        <f t="shared" si="9"/>
        <v>0</v>
      </c>
      <c r="BB75" s="39">
        <f t="shared" si="10"/>
        <v>0</v>
      </c>
    </row>
    <row r="76" spans="1:54">
      <c r="A76" s="168">
        <v>5412</v>
      </c>
      <c r="B76" s="2">
        <v>138695</v>
      </c>
      <c r="C76" s="2" t="s">
        <v>277</v>
      </c>
      <c r="E76" s="164">
        <v>0</v>
      </c>
      <c r="F76" s="164"/>
      <c r="G76" s="164">
        <v>0</v>
      </c>
      <c r="H76" s="164">
        <v>0</v>
      </c>
      <c r="I76" s="164">
        <v>0</v>
      </c>
      <c r="J76" s="164">
        <v>0</v>
      </c>
      <c r="K76" s="171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47"/>
      <c r="AG76" s="163"/>
      <c r="AH76" s="163"/>
      <c r="AI76" s="163"/>
      <c r="AJ76" s="163"/>
      <c r="AK76" s="163"/>
      <c r="AL76" s="163"/>
      <c r="AM76" s="163"/>
      <c r="AN76" s="239"/>
      <c r="AO76" s="239"/>
      <c r="AP76" s="242"/>
      <c r="AQ76" s="242"/>
      <c r="AR76" s="242"/>
      <c r="AS76" s="166">
        <f t="shared" si="8"/>
        <v>0</v>
      </c>
      <c r="AU76" s="30">
        <f t="shared" si="9"/>
        <v>0</v>
      </c>
      <c r="AV76" s="30">
        <f t="shared" si="9"/>
        <v>0</v>
      </c>
      <c r="AW76" s="30">
        <f t="shared" si="9"/>
        <v>0</v>
      </c>
      <c r="AX76" s="30">
        <f t="shared" si="9"/>
        <v>0</v>
      </c>
      <c r="AY76" s="30">
        <f t="shared" si="9"/>
        <v>0</v>
      </c>
      <c r="AZ76" s="30">
        <f t="shared" si="9"/>
        <v>0</v>
      </c>
      <c r="BA76" s="30">
        <f t="shared" si="9"/>
        <v>0</v>
      </c>
      <c r="BB76" s="39">
        <f t="shared" si="10"/>
        <v>0</v>
      </c>
    </row>
    <row r="77" spans="1:54">
      <c r="A77" s="168">
        <v>2448</v>
      </c>
      <c r="B77" s="2">
        <v>142794</v>
      </c>
      <c r="C77" s="2" t="s">
        <v>278</v>
      </c>
      <c r="E77" s="164">
        <v>0</v>
      </c>
      <c r="F77" s="164"/>
      <c r="G77" s="164">
        <v>0</v>
      </c>
      <c r="H77" s="164">
        <v>0</v>
      </c>
      <c r="I77" s="164">
        <v>0</v>
      </c>
      <c r="J77" s="164">
        <v>0</v>
      </c>
      <c r="K77" s="171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47"/>
      <c r="AG77" s="163"/>
      <c r="AH77" s="163"/>
      <c r="AI77" s="163"/>
      <c r="AJ77" s="163"/>
      <c r="AK77" s="163"/>
      <c r="AL77" s="163"/>
      <c r="AM77" s="163"/>
      <c r="AN77" s="239"/>
      <c r="AO77" s="239"/>
      <c r="AP77" s="242"/>
      <c r="AQ77" s="242"/>
      <c r="AR77" s="242"/>
      <c r="AS77" s="166">
        <f t="shared" si="8"/>
        <v>0</v>
      </c>
      <c r="AU77" s="30">
        <f t="shared" si="9"/>
        <v>0</v>
      </c>
      <c r="AV77" s="30">
        <f t="shared" si="9"/>
        <v>0</v>
      </c>
      <c r="AW77" s="30">
        <f t="shared" si="9"/>
        <v>0</v>
      </c>
      <c r="AX77" s="30">
        <f t="shared" si="9"/>
        <v>0</v>
      </c>
      <c r="AY77" s="30">
        <f t="shared" si="9"/>
        <v>0</v>
      </c>
      <c r="AZ77" s="30">
        <f t="shared" si="9"/>
        <v>0</v>
      </c>
      <c r="BA77" s="30">
        <f t="shared" si="9"/>
        <v>0</v>
      </c>
      <c r="BB77" s="39">
        <f t="shared" si="10"/>
        <v>0</v>
      </c>
    </row>
    <row r="78" spans="1:54">
      <c r="A78" s="168">
        <v>2451</v>
      </c>
      <c r="B78" s="2">
        <v>141610</v>
      </c>
      <c r="C78" s="2" t="s">
        <v>279</v>
      </c>
      <c r="E78" s="164">
        <v>0</v>
      </c>
      <c r="F78" s="164"/>
      <c r="G78" s="164">
        <v>0</v>
      </c>
      <c r="H78" s="164">
        <v>0</v>
      </c>
      <c r="I78" s="164">
        <v>0</v>
      </c>
      <c r="J78" s="164">
        <v>0</v>
      </c>
      <c r="K78" s="171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47"/>
      <c r="AG78" s="163"/>
      <c r="AH78" s="163"/>
      <c r="AI78" s="163"/>
      <c r="AJ78" s="163"/>
      <c r="AK78" s="163"/>
      <c r="AL78" s="163"/>
      <c r="AM78" s="163"/>
      <c r="AN78" s="239"/>
      <c r="AO78" s="239"/>
      <c r="AP78" s="242"/>
      <c r="AQ78" s="242"/>
      <c r="AR78" s="242"/>
      <c r="AS78" s="166">
        <f t="shared" si="8"/>
        <v>0</v>
      </c>
      <c r="AU78" s="30">
        <f t="shared" si="9"/>
        <v>0</v>
      </c>
      <c r="AV78" s="30">
        <f t="shared" si="9"/>
        <v>0</v>
      </c>
      <c r="AW78" s="30">
        <f t="shared" si="9"/>
        <v>0</v>
      </c>
      <c r="AX78" s="30">
        <f t="shared" si="9"/>
        <v>0</v>
      </c>
      <c r="AY78" s="30">
        <f t="shared" si="9"/>
        <v>0</v>
      </c>
      <c r="AZ78" s="30">
        <f t="shared" si="9"/>
        <v>0</v>
      </c>
      <c r="BA78" s="30">
        <f t="shared" si="9"/>
        <v>0</v>
      </c>
      <c r="BB78" s="39">
        <f t="shared" si="10"/>
        <v>0</v>
      </c>
    </row>
    <row r="79" spans="1:54">
      <c r="A79" s="168">
        <v>2085</v>
      </c>
      <c r="B79" s="2">
        <v>138693</v>
      </c>
      <c r="C79" s="2" t="s">
        <v>280</v>
      </c>
      <c r="E79" s="164">
        <v>0</v>
      </c>
      <c r="F79" s="164"/>
      <c r="G79" s="164">
        <v>0</v>
      </c>
      <c r="H79" s="164">
        <v>0</v>
      </c>
      <c r="I79" s="164">
        <v>0</v>
      </c>
      <c r="J79" s="164">
        <v>0</v>
      </c>
      <c r="K79" s="171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47"/>
      <c r="AG79" s="163"/>
      <c r="AH79" s="163"/>
      <c r="AI79" s="163"/>
      <c r="AJ79" s="163"/>
      <c r="AK79" s="163"/>
      <c r="AL79" s="163"/>
      <c r="AM79" s="163"/>
      <c r="AN79" s="239"/>
      <c r="AO79" s="239"/>
      <c r="AP79" s="242"/>
      <c r="AQ79" s="242"/>
      <c r="AR79" s="242"/>
      <c r="AS79" s="166">
        <f t="shared" si="8"/>
        <v>0</v>
      </c>
      <c r="AU79" s="30">
        <f t="shared" si="9"/>
        <v>0</v>
      </c>
      <c r="AV79" s="30">
        <f t="shared" si="9"/>
        <v>0</v>
      </c>
      <c r="AW79" s="30">
        <f t="shared" si="9"/>
        <v>0</v>
      </c>
      <c r="AX79" s="30">
        <f t="shared" si="9"/>
        <v>0</v>
      </c>
      <c r="AY79" s="30">
        <f t="shared" si="9"/>
        <v>0</v>
      </c>
      <c r="AZ79" s="30">
        <f t="shared" si="9"/>
        <v>0</v>
      </c>
      <c r="BA79" s="30">
        <f t="shared" si="9"/>
        <v>0</v>
      </c>
      <c r="BB79" s="39">
        <f t="shared" si="10"/>
        <v>0</v>
      </c>
    </row>
    <row r="80" spans="1:54">
      <c r="A80" s="168">
        <v>4006</v>
      </c>
      <c r="B80" s="2">
        <v>139048</v>
      </c>
      <c r="C80" s="2" t="s">
        <v>281</v>
      </c>
      <c r="E80" s="164">
        <v>0</v>
      </c>
      <c r="F80" s="164"/>
      <c r="G80" s="164">
        <v>0</v>
      </c>
      <c r="H80" s="164">
        <v>0</v>
      </c>
      <c r="I80" s="164">
        <v>0</v>
      </c>
      <c r="J80" s="164">
        <v>0</v>
      </c>
      <c r="K80" s="171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47"/>
      <c r="AG80" s="163"/>
      <c r="AH80" s="163"/>
      <c r="AI80" s="163"/>
      <c r="AJ80" s="163"/>
      <c r="AK80" s="163"/>
      <c r="AL80" s="163"/>
      <c r="AM80" s="163"/>
      <c r="AN80" s="239"/>
      <c r="AO80" s="239"/>
      <c r="AP80" s="242"/>
      <c r="AQ80" s="242"/>
      <c r="AR80" s="242"/>
      <c r="AS80" s="166">
        <f t="shared" si="8"/>
        <v>0</v>
      </c>
      <c r="AU80" s="30">
        <f t="shared" si="9"/>
        <v>0</v>
      </c>
      <c r="AV80" s="30">
        <f t="shared" si="9"/>
        <v>0</v>
      </c>
      <c r="AW80" s="30">
        <f t="shared" si="9"/>
        <v>0</v>
      </c>
      <c r="AX80" s="30">
        <f t="shared" si="9"/>
        <v>0</v>
      </c>
      <c r="AY80" s="30">
        <f t="shared" si="9"/>
        <v>0</v>
      </c>
      <c r="AZ80" s="30">
        <f t="shared" si="9"/>
        <v>0</v>
      </c>
      <c r="BA80" s="30">
        <f t="shared" si="9"/>
        <v>0</v>
      </c>
      <c r="BB80" s="39">
        <f t="shared" si="10"/>
        <v>0</v>
      </c>
    </row>
    <row r="81" spans="1:54">
      <c r="A81" s="168">
        <v>2086</v>
      </c>
      <c r="B81" s="2">
        <v>143090</v>
      </c>
      <c r="C81" s="2" t="s">
        <v>282</v>
      </c>
      <c r="E81" s="164">
        <v>0</v>
      </c>
      <c r="F81" s="164"/>
      <c r="G81" s="164">
        <v>0</v>
      </c>
      <c r="H81" s="164">
        <v>0</v>
      </c>
      <c r="I81" s="164">
        <v>0</v>
      </c>
      <c r="J81" s="164">
        <v>0</v>
      </c>
      <c r="K81" s="171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47"/>
      <c r="AG81" s="163"/>
      <c r="AH81" s="163"/>
      <c r="AI81" s="163"/>
      <c r="AJ81" s="163"/>
      <c r="AK81" s="163"/>
      <c r="AL81" s="163"/>
      <c r="AM81" s="163"/>
      <c r="AN81" s="239"/>
      <c r="AO81" s="239"/>
      <c r="AP81" s="242"/>
      <c r="AQ81" s="242"/>
      <c r="AR81" s="242"/>
      <c r="AS81" s="166">
        <f t="shared" si="8"/>
        <v>0</v>
      </c>
      <c r="AU81" s="30">
        <f t="shared" si="9"/>
        <v>0</v>
      </c>
      <c r="AV81" s="30">
        <f t="shared" si="9"/>
        <v>0</v>
      </c>
      <c r="AW81" s="30">
        <f t="shared" si="9"/>
        <v>0</v>
      </c>
      <c r="AX81" s="30">
        <f t="shared" si="9"/>
        <v>0</v>
      </c>
      <c r="AY81" s="30">
        <f t="shared" si="9"/>
        <v>0</v>
      </c>
      <c r="AZ81" s="30">
        <f t="shared" si="9"/>
        <v>0</v>
      </c>
      <c r="BA81" s="30">
        <f t="shared" si="9"/>
        <v>0</v>
      </c>
      <c r="BB81" s="39">
        <f t="shared" si="10"/>
        <v>0</v>
      </c>
    </row>
    <row r="82" spans="1:54">
      <c r="A82" s="168">
        <v>2138</v>
      </c>
      <c r="B82" s="2">
        <v>139904</v>
      </c>
      <c r="C82" s="2" t="s">
        <v>283</v>
      </c>
      <c r="E82" s="164">
        <v>0</v>
      </c>
      <c r="F82" s="164"/>
      <c r="G82" s="164">
        <v>0</v>
      </c>
      <c r="H82" s="164">
        <v>0</v>
      </c>
      <c r="I82" s="164">
        <v>0</v>
      </c>
      <c r="J82" s="164">
        <v>0</v>
      </c>
      <c r="K82" s="171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47"/>
      <c r="AG82" s="163"/>
      <c r="AH82" s="163"/>
      <c r="AI82" s="163"/>
      <c r="AJ82" s="163"/>
      <c r="AK82" s="163"/>
      <c r="AL82" s="163"/>
      <c r="AM82" s="163"/>
      <c r="AN82" s="239"/>
      <c r="AO82" s="239"/>
      <c r="AP82" s="242"/>
      <c r="AQ82" s="242"/>
      <c r="AR82" s="242"/>
      <c r="AS82" s="166">
        <f t="shared" si="8"/>
        <v>0</v>
      </c>
      <c r="AU82" s="30">
        <f t="shared" si="9"/>
        <v>0</v>
      </c>
      <c r="AV82" s="30">
        <f t="shared" si="9"/>
        <v>0</v>
      </c>
      <c r="AW82" s="30">
        <f t="shared" si="9"/>
        <v>0</v>
      </c>
      <c r="AX82" s="30">
        <f t="shared" si="9"/>
        <v>0</v>
      </c>
      <c r="AY82" s="30">
        <f t="shared" si="9"/>
        <v>0</v>
      </c>
      <c r="AZ82" s="30">
        <f t="shared" si="9"/>
        <v>0</v>
      </c>
      <c r="BA82" s="30">
        <f t="shared" si="9"/>
        <v>0</v>
      </c>
      <c r="BB82" s="39">
        <f t="shared" si="10"/>
        <v>0</v>
      </c>
    </row>
    <row r="83" spans="1:54">
      <c r="A83" s="168">
        <v>3316</v>
      </c>
      <c r="B83" s="2">
        <v>148081</v>
      </c>
      <c r="C83" s="2" t="s">
        <v>284</v>
      </c>
      <c r="E83" s="164">
        <v>0</v>
      </c>
      <c r="F83" s="164"/>
      <c r="G83" s="164">
        <v>0</v>
      </c>
      <c r="H83" s="164">
        <v>0</v>
      </c>
      <c r="I83" s="164">
        <v>0</v>
      </c>
      <c r="J83" s="164">
        <v>0</v>
      </c>
      <c r="K83" s="171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47"/>
      <c r="AG83" s="163"/>
      <c r="AH83" s="163"/>
      <c r="AI83" s="163"/>
      <c r="AJ83" s="163"/>
      <c r="AK83" s="163"/>
      <c r="AL83" s="163"/>
      <c r="AM83" s="163"/>
      <c r="AN83" s="239"/>
      <c r="AO83" s="239"/>
      <c r="AP83" s="242"/>
      <c r="AQ83" s="242"/>
      <c r="AR83" s="242"/>
      <c r="AS83" s="166">
        <f t="shared" si="8"/>
        <v>0</v>
      </c>
      <c r="AU83" s="30">
        <f t="shared" si="9"/>
        <v>0</v>
      </c>
      <c r="AV83" s="30">
        <f t="shared" si="9"/>
        <v>0</v>
      </c>
      <c r="AW83" s="30">
        <f t="shared" si="9"/>
        <v>0</v>
      </c>
      <c r="AX83" s="30">
        <f t="shared" si="9"/>
        <v>0</v>
      </c>
      <c r="AY83" s="30">
        <f t="shared" si="9"/>
        <v>0</v>
      </c>
      <c r="AZ83" s="30">
        <f t="shared" si="9"/>
        <v>0</v>
      </c>
      <c r="BA83" s="30">
        <f t="shared" si="9"/>
        <v>0</v>
      </c>
      <c r="BB83" s="39">
        <f t="shared" si="10"/>
        <v>0</v>
      </c>
    </row>
    <row r="84" spans="1:54">
      <c r="A84" s="168">
        <v>5409</v>
      </c>
      <c r="B84" s="2">
        <v>137858</v>
      </c>
      <c r="C84" s="2" t="s">
        <v>285</v>
      </c>
      <c r="E84" s="164">
        <v>0</v>
      </c>
      <c r="F84" s="164"/>
      <c r="G84" s="164">
        <v>0</v>
      </c>
      <c r="H84" s="164">
        <v>0</v>
      </c>
      <c r="I84" s="164">
        <v>0</v>
      </c>
      <c r="J84" s="164">
        <v>0</v>
      </c>
      <c r="K84" s="171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47"/>
      <c r="AG84" s="163"/>
      <c r="AH84" s="163"/>
      <c r="AI84" s="163"/>
      <c r="AJ84" s="163"/>
      <c r="AK84" s="163"/>
      <c r="AL84" s="163"/>
      <c r="AM84" s="163"/>
      <c r="AN84" s="239"/>
      <c r="AO84" s="239"/>
      <c r="AP84" s="242"/>
      <c r="AQ84" s="242"/>
      <c r="AR84" s="242"/>
      <c r="AS84" s="166">
        <f t="shared" si="8"/>
        <v>0</v>
      </c>
      <c r="AU84" s="30">
        <f t="shared" si="9"/>
        <v>0</v>
      </c>
      <c r="AV84" s="30">
        <f t="shared" si="9"/>
        <v>0</v>
      </c>
      <c r="AW84" s="30">
        <f t="shared" si="9"/>
        <v>0</v>
      </c>
      <c r="AX84" s="30">
        <f t="shared" si="9"/>
        <v>0</v>
      </c>
      <c r="AY84" s="30">
        <f t="shared" si="9"/>
        <v>0</v>
      </c>
      <c r="AZ84" s="30">
        <f t="shared" si="9"/>
        <v>0</v>
      </c>
      <c r="BA84" s="30">
        <f t="shared" si="9"/>
        <v>0</v>
      </c>
      <c r="BB84" s="39">
        <f t="shared" si="10"/>
        <v>0</v>
      </c>
    </row>
    <row r="85" spans="1:54">
      <c r="A85" s="168">
        <v>7000</v>
      </c>
      <c r="B85" s="2">
        <v>144336</v>
      </c>
      <c r="C85" s="2" t="s">
        <v>286</v>
      </c>
      <c r="E85" s="164">
        <v>577291.8530357884</v>
      </c>
      <c r="F85" s="164"/>
      <c r="G85" s="164">
        <v>139404.47306067095</v>
      </c>
      <c r="H85" s="164">
        <v>98829.49</v>
      </c>
      <c r="I85" s="164">
        <v>3460.44</v>
      </c>
      <c r="J85" s="164">
        <v>4616.49</v>
      </c>
      <c r="K85" s="171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47"/>
      <c r="AG85" s="163"/>
      <c r="AH85" s="163"/>
      <c r="AI85" s="163"/>
      <c r="AJ85" s="163"/>
      <c r="AK85" s="163"/>
      <c r="AL85" s="163"/>
      <c r="AM85" s="163"/>
      <c r="AN85" s="239"/>
      <c r="AO85" s="239"/>
      <c r="AP85" s="242"/>
      <c r="AQ85" s="242"/>
      <c r="AR85" s="242"/>
      <c r="AS85" s="166">
        <f t="shared" si="8"/>
        <v>823602.74609645922</v>
      </c>
      <c r="AU85" s="30">
        <f t="shared" si="9"/>
        <v>8076.93</v>
      </c>
      <c r="AV85" s="30">
        <f t="shared" si="9"/>
        <v>0</v>
      </c>
      <c r="AW85" s="30">
        <f t="shared" si="9"/>
        <v>815525.81609645928</v>
      </c>
      <c r="AX85" s="30">
        <f t="shared" si="9"/>
        <v>0</v>
      </c>
      <c r="AY85" s="30">
        <f t="shared" si="9"/>
        <v>0</v>
      </c>
      <c r="AZ85" s="30">
        <f t="shared" si="9"/>
        <v>0</v>
      </c>
      <c r="BA85" s="30">
        <f t="shared" si="9"/>
        <v>0</v>
      </c>
      <c r="BB85" s="39">
        <f t="shared" si="10"/>
        <v>0</v>
      </c>
    </row>
    <row r="86" spans="1:54">
      <c r="A86" s="168">
        <v>4240</v>
      </c>
      <c r="B86" s="2">
        <v>139746</v>
      </c>
      <c r="C86" s="2" t="s">
        <v>287</v>
      </c>
      <c r="E86" s="164">
        <v>0</v>
      </c>
      <c r="F86" s="164"/>
      <c r="G86" s="164">
        <v>0</v>
      </c>
      <c r="H86" s="164">
        <v>0</v>
      </c>
      <c r="I86" s="164">
        <v>0</v>
      </c>
      <c r="J86" s="164">
        <v>0</v>
      </c>
      <c r="K86" s="171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47"/>
      <c r="AG86" s="163"/>
      <c r="AH86" s="163"/>
      <c r="AI86" s="163"/>
      <c r="AJ86" s="163"/>
      <c r="AK86" s="163"/>
      <c r="AL86" s="163"/>
      <c r="AM86" s="163"/>
      <c r="AN86" s="239"/>
      <c r="AO86" s="239"/>
      <c r="AP86" s="242"/>
      <c r="AQ86" s="242"/>
      <c r="AR86" s="242"/>
      <c r="AS86" s="166">
        <f t="shared" si="8"/>
        <v>0</v>
      </c>
      <c r="AU86" s="30">
        <f t="shared" ref="AU86:BA111" si="11">SUMIF($E$3:$AR$3,AU$6,$E86:$AR86)</f>
        <v>0</v>
      </c>
      <c r="AV86" s="30">
        <f t="shared" si="11"/>
        <v>0</v>
      </c>
      <c r="AW86" s="30">
        <f t="shared" si="11"/>
        <v>0</v>
      </c>
      <c r="AX86" s="30">
        <f t="shared" si="11"/>
        <v>0</v>
      </c>
      <c r="AY86" s="30">
        <f t="shared" si="11"/>
        <v>0</v>
      </c>
      <c r="AZ86" s="30">
        <f t="shared" si="11"/>
        <v>0</v>
      </c>
      <c r="BA86" s="30">
        <f t="shared" si="11"/>
        <v>0</v>
      </c>
      <c r="BB86" s="39">
        <f t="shared" si="10"/>
        <v>0</v>
      </c>
    </row>
    <row r="87" spans="1:54">
      <c r="A87" s="168">
        <v>6910</v>
      </c>
      <c r="B87" s="2">
        <v>136213</v>
      </c>
      <c r="C87" s="2" t="s">
        <v>288</v>
      </c>
      <c r="E87" s="164">
        <v>0</v>
      </c>
      <c r="F87" s="164"/>
      <c r="G87" s="164">
        <v>0</v>
      </c>
      <c r="H87" s="164">
        <v>0</v>
      </c>
      <c r="I87" s="164">
        <v>0</v>
      </c>
      <c r="J87" s="164">
        <v>0</v>
      </c>
      <c r="K87" s="171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47"/>
      <c r="AG87" s="163"/>
      <c r="AH87" s="163"/>
      <c r="AI87" s="163"/>
      <c r="AJ87" s="163"/>
      <c r="AK87" s="163"/>
      <c r="AL87" s="163"/>
      <c r="AM87" s="163"/>
      <c r="AN87" s="239"/>
      <c r="AO87" s="239"/>
      <c r="AP87" s="242"/>
      <c r="AQ87" s="242"/>
      <c r="AR87" s="242"/>
      <c r="AS87" s="166">
        <f t="shared" si="8"/>
        <v>0</v>
      </c>
      <c r="AU87" s="30">
        <f t="shared" si="11"/>
        <v>0</v>
      </c>
      <c r="AV87" s="30">
        <f t="shared" si="11"/>
        <v>0</v>
      </c>
      <c r="AW87" s="30">
        <f t="shared" si="11"/>
        <v>0</v>
      </c>
      <c r="AX87" s="30">
        <f t="shared" si="11"/>
        <v>0</v>
      </c>
      <c r="AY87" s="30">
        <f t="shared" si="11"/>
        <v>0</v>
      </c>
      <c r="AZ87" s="30">
        <f t="shared" si="11"/>
        <v>0</v>
      </c>
      <c r="BA87" s="30">
        <f t="shared" si="11"/>
        <v>0</v>
      </c>
      <c r="BB87" s="39">
        <f t="shared" si="10"/>
        <v>0</v>
      </c>
    </row>
    <row r="88" spans="1:54">
      <c r="A88" s="168">
        <v>2121</v>
      </c>
      <c r="B88" s="2">
        <v>139269</v>
      </c>
      <c r="C88" s="2" t="s">
        <v>289</v>
      </c>
      <c r="E88" s="164">
        <v>0</v>
      </c>
      <c r="F88" s="164"/>
      <c r="G88" s="164">
        <v>0</v>
      </c>
      <c r="H88" s="164">
        <v>0</v>
      </c>
      <c r="I88" s="164">
        <v>0</v>
      </c>
      <c r="J88" s="164">
        <v>0</v>
      </c>
      <c r="K88" s="171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47"/>
      <c r="AG88" s="163"/>
      <c r="AH88" s="163"/>
      <c r="AI88" s="163"/>
      <c r="AJ88" s="163"/>
      <c r="AK88" s="163"/>
      <c r="AL88" s="239"/>
      <c r="AM88" s="163"/>
      <c r="AN88" s="239"/>
      <c r="AO88" s="239"/>
      <c r="AP88" s="242"/>
      <c r="AQ88" s="242"/>
      <c r="AR88" s="242"/>
      <c r="AS88" s="166">
        <f t="shared" si="8"/>
        <v>0</v>
      </c>
      <c r="AU88" s="30">
        <f t="shared" si="11"/>
        <v>0</v>
      </c>
      <c r="AV88" s="30">
        <f t="shared" si="11"/>
        <v>0</v>
      </c>
      <c r="AW88" s="30">
        <f t="shared" si="11"/>
        <v>0</v>
      </c>
      <c r="AX88" s="30">
        <f t="shared" si="11"/>
        <v>0</v>
      </c>
      <c r="AY88" s="30">
        <f t="shared" si="11"/>
        <v>0</v>
      </c>
      <c r="AZ88" s="30">
        <f t="shared" si="11"/>
        <v>0</v>
      </c>
      <c r="BA88" s="30">
        <f t="shared" si="11"/>
        <v>0</v>
      </c>
      <c r="BB88" s="39">
        <f t="shared" si="10"/>
        <v>0</v>
      </c>
    </row>
    <row r="89" spans="1:54">
      <c r="A89" s="168">
        <v>2313</v>
      </c>
      <c r="B89" s="2">
        <v>149366</v>
      </c>
      <c r="C89" s="2" t="s">
        <v>290</v>
      </c>
      <c r="E89" s="164">
        <v>0</v>
      </c>
      <c r="F89" s="164"/>
      <c r="G89" s="164">
        <v>0</v>
      </c>
      <c r="H89" s="164">
        <v>0</v>
      </c>
      <c r="I89" s="164">
        <v>0</v>
      </c>
      <c r="J89" s="164">
        <v>0</v>
      </c>
      <c r="K89" s="171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47"/>
      <c r="AG89" s="163"/>
      <c r="AH89" s="163"/>
      <c r="AI89" s="163"/>
      <c r="AJ89" s="163"/>
      <c r="AK89" s="163"/>
      <c r="AL89" s="163"/>
      <c r="AM89" s="163"/>
      <c r="AN89" s="239"/>
      <c r="AO89" s="239"/>
      <c r="AP89" s="242"/>
      <c r="AQ89" s="242"/>
      <c r="AR89" s="242"/>
      <c r="AS89" s="166">
        <f t="shared" si="8"/>
        <v>0</v>
      </c>
      <c r="AU89" s="30">
        <f t="shared" si="11"/>
        <v>0</v>
      </c>
      <c r="AV89" s="30">
        <f t="shared" si="11"/>
        <v>0</v>
      </c>
      <c r="AW89" s="30">
        <f t="shared" si="11"/>
        <v>0</v>
      </c>
      <c r="AX89" s="30">
        <f t="shared" si="11"/>
        <v>0</v>
      </c>
      <c r="AY89" s="30">
        <f t="shared" si="11"/>
        <v>0</v>
      </c>
      <c r="AZ89" s="30">
        <f t="shared" si="11"/>
        <v>0</v>
      </c>
      <c r="BA89" s="30">
        <f t="shared" si="11"/>
        <v>0</v>
      </c>
      <c r="BB89" s="39">
        <f t="shared" si="10"/>
        <v>0</v>
      </c>
    </row>
    <row r="90" spans="1:54">
      <c r="A90" s="168">
        <v>2309</v>
      </c>
      <c r="B90" s="2">
        <v>142231</v>
      </c>
      <c r="C90" s="2" t="s">
        <v>291</v>
      </c>
      <c r="E90" s="164">
        <v>0</v>
      </c>
      <c r="F90" s="164"/>
      <c r="G90" s="164">
        <v>0</v>
      </c>
      <c r="H90" s="164">
        <v>0</v>
      </c>
      <c r="I90" s="164">
        <v>0</v>
      </c>
      <c r="J90" s="164">
        <v>0</v>
      </c>
      <c r="K90" s="171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47"/>
      <c r="AG90" s="163"/>
      <c r="AH90" s="163"/>
      <c r="AI90" s="163"/>
      <c r="AJ90" s="163"/>
      <c r="AK90" s="163"/>
      <c r="AL90" s="163"/>
      <c r="AM90" s="163"/>
      <c r="AN90" s="239"/>
      <c r="AO90" s="239"/>
      <c r="AP90" s="242"/>
      <c r="AQ90" s="242"/>
      <c r="AR90" s="242"/>
      <c r="AS90" s="166">
        <f t="shared" si="8"/>
        <v>0</v>
      </c>
      <c r="AU90" s="30">
        <f t="shared" si="11"/>
        <v>0</v>
      </c>
      <c r="AV90" s="30">
        <f t="shared" si="11"/>
        <v>0</v>
      </c>
      <c r="AW90" s="30">
        <f t="shared" si="11"/>
        <v>0</v>
      </c>
      <c r="AX90" s="30">
        <f t="shared" si="11"/>
        <v>0</v>
      </c>
      <c r="AY90" s="30">
        <f t="shared" si="11"/>
        <v>0</v>
      </c>
      <c r="AZ90" s="30">
        <f t="shared" si="11"/>
        <v>0</v>
      </c>
      <c r="BA90" s="30">
        <f t="shared" si="11"/>
        <v>0</v>
      </c>
      <c r="BB90" s="39">
        <f t="shared" si="10"/>
        <v>0</v>
      </c>
    </row>
    <row r="91" spans="1:54">
      <c r="A91" s="168">
        <v>2455</v>
      </c>
      <c r="B91" s="2">
        <v>140890</v>
      </c>
      <c r="C91" s="2" t="s">
        <v>292</v>
      </c>
      <c r="E91" s="164">
        <v>0</v>
      </c>
      <c r="F91" s="164"/>
      <c r="G91" s="164">
        <v>0</v>
      </c>
      <c r="H91" s="164">
        <v>0</v>
      </c>
      <c r="I91" s="164">
        <v>0</v>
      </c>
      <c r="J91" s="164">
        <v>0</v>
      </c>
      <c r="K91" s="171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47"/>
      <c r="AG91" s="163"/>
      <c r="AH91" s="163"/>
      <c r="AI91" s="163"/>
      <c r="AJ91" s="163"/>
      <c r="AK91" s="163"/>
      <c r="AL91" s="163"/>
      <c r="AM91" s="163"/>
      <c r="AN91" s="239"/>
      <c r="AO91" s="239"/>
      <c r="AP91" s="242"/>
      <c r="AQ91" s="242"/>
      <c r="AR91" s="242"/>
      <c r="AS91" s="166">
        <f t="shared" si="8"/>
        <v>0</v>
      </c>
      <c r="AU91" s="30">
        <f t="shared" si="11"/>
        <v>0</v>
      </c>
      <c r="AV91" s="30">
        <f t="shared" si="11"/>
        <v>0</v>
      </c>
      <c r="AW91" s="30">
        <f t="shared" si="11"/>
        <v>0</v>
      </c>
      <c r="AX91" s="30">
        <f t="shared" si="11"/>
        <v>0</v>
      </c>
      <c r="AY91" s="30">
        <f t="shared" si="11"/>
        <v>0</v>
      </c>
      <c r="AZ91" s="30">
        <f t="shared" si="11"/>
        <v>0</v>
      </c>
      <c r="BA91" s="30">
        <f t="shared" si="11"/>
        <v>0</v>
      </c>
      <c r="BB91" s="39">
        <f t="shared" si="10"/>
        <v>0</v>
      </c>
    </row>
    <row r="92" spans="1:54">
      <c r="A92" s="168">
        <v>2165</v>
      </c>
      <c r="B92" s="2">
        <v>142570</v>
      </c>
      <c r="C92" s="2" t="s">
        <v>293</v>
      </c>
      <c r="E92" s="164">
        <v>0</v>
      </c>
      <c r="F92" s="164"/>
      <c r="G92" s="164">
        <v>0</v>
      </c>
      <c r="H92" s="164">
        <v>0</v>
      </c>
      <c r="I92" s="164">
        <v>0</v>
      </c>
      <c r="J92" s="164">
        <v>0</v>
      </c>
      <c r="K92" s="171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47"/>
      <c r="AG92" s="163"/>
      <c r="AH92" s="163"/>
      <c r="AI92" s="163"/>
      <c r="AJ92" s="163"/>
      <c r="AK92" s="163"/>
      <c r="AL92" s="163"/>
      <c r="AM92" s="163"/>
      <c r="AN92" s="239"/>
      <c r="AO92" s="239"/>
      <c r="AP92" s="242"/>
      <c r="AQ92" s="242"/>
      <c r="AR92" s="242"/>
      <c r="AS92" s="166">
        <f t="shared" si="8"/>
        <v>0</v>
      </c>
      <c r="AU92" s="30">
        <f t="shared" si="11"/>
        <v>0</v>
      </c>
      <c r="AV92" s="30">
        <f t="shared" si="11"/>
        <v>0</v>
      </c>
      <c r="AW92" s="30">
        <f t="shared" si="11"/>
        <v>0</v>
      </c>
      <c r="AX92" s="30">
        <f t="shared" si="11"/>
        <v>0</v>
      </c>
      <c r="AY92" s="30">
        <f t="shared" si="11"/>
        <v>0</v>
      </c>
      <c r="AZ92" s="30">
        <f t="shared" si="11"/>
        <v>0</v>
      </c>
      <c r="BA92" s="30">
        <f t="shared" si="11"/>
        <v>0</v>
      </c>
      <c r="BB92" s="39">
        <f t="shared" si="10"/>
        <v>0</v>
      </c>
    </row>
    <row r="93" spans="1:54">
      <c r="A93" s="168">
        <v>2210</v>
      </c>
      <c r="B93" s="2">
        <v>149483</v>
      </c>
      <c r="C93" s="2" t="s">
        <v>294</v>
      </c>
      <c r="E93" s="164">
        <v>0</v>
      </c>
      <c r="F93" s="164"/>
      <c r="G93" s="164">
        <v>0</v>
      </c>
      <c r="H93" s="164">
        <v>0</v>
      </c>
      <c r="I93" s="164">
        <v>0</v>
      </c>
      <c r="J93" s="164">
        <v>0</v>
      </c>
      <c r="K93" s="171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47"/>
      <c r="AG93" s="163"/>
      <c r="AH93" s="163"/>
      <c r="AI93" s="163"/>
      <c r="AJ93" s="163"/>
      <c r="AK93" s="163"/>
      <c r="AL93" s="163"/>
      <c r="AM93" s="163"/>
      <c r="AN93" s="239"/>
      <c r="AO93" s="239"/>
      <c r="AP93" s="242"/>
      <c r="AQ93" s="242"/>
      <c r="AR93" s="242"/>
      <c r="AS93" s="166">
        <f t="shared" si="8"/>
        <v>0</v>
      </c>
      <c r="AU93" s="30">
        <f t="shared" si="11"/>
        <v>0</v>
      </c>
      <c r="AV93" s="30">
        <f t="shared" si="11"/>
        <v>0</v>
      </c>
      <c r="AW93" s="30">
        <f t="shared" si="11"/>
        <v>0</v>
      </c>
      <c r="AX93" s="30">
        <f t="shared" si="11"/>
        <v>0</v>
      </c>
      <c r="AY93" s="30">
        <f t="shared" si="11"/>
        <v>0</v>
      </c>
      <c r="AZ93" s="30">
        <f t="shared" si="11"/>
        <v>0</v>
      </c>
      <c r="BA93" s="30">
        <f t="shared" si="11"/>
        <v>0</v>
      </c>
      <c r="BB93" s="39">
        <f t="shared" si="10"/>
        <v>0</v>
      </c>
    </row>
    <row r="94" spans="1:54">
      <c r="A94" s="168">
        <v>3429</v>
      </c>
      <c r="B94" s="2">
        <v>139520</v>
      </c>
      <c r="C94" s="2" t="s">
        <v>295</v>
      </c>
      <c r="E94" s="164">
        <v>0</v>
      </c>
      <c r="F94" s="164"/>
      <c r="G94" s="164">
        <v>0</v>
      </c>
      <c r="H94" s="164">
        <v>0</v>
      </c>
      <c r="I94" s="164">
        <v>0</v>
      </c>
      <c r="J94" s="164">
        <v>0</v>
      </c>
      <c r="K94" s="171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47"/>
      <c r="AG94" s="163"/>
      <c r="AH94" s="163"/>
      <c r="AI94" s="163"/>
      <c r="AJ94" s="163"/>
      <c r="AK94" s="163"/>
      <c r="AL94" s="163"/>
      <c r="AM94" s="163"/>
      <c r="AN94" s="239"/>
      <c r="AO94" s="239"/>
      <c r="AP94" s="242"/>
      <c r="AQ94" s="242"/>
      <c r="AR94" s="242"/>
      <c r="AS94" s="166">
        <f t="shared" si="8"/>
        <v>0</v>
      </c>
      <c r="AU94" s="30">
        <f t="shared" si="11"/>
        <v>0</v>
      </c>
      <c r="AV94" s="30">
        <f t="shared" si="11"/>
        <v>0</v>
      </c>
      <c r="AW94" s="30">
        <f t="shared" si="11"/>
        <v>0</v>
      </c>
      <c r="AX94" s="30">
        <f t="shared" si="11"/>
        <v>0</v>
      </c>
      <c r="AY94" s="30">
        <f t="shared" si="11"/>
        <v>0</v>
      </c>
      <c r="AZ94" s="30">
        <f t="shared" si="11"/>
        <v>0</v>
      </c>
      <c r="BA94" s="30">
        <f t="shared" si="11"/>
        <v>0</v>
      </c>
      <c r="BB94" s="39">
        <f t="shared" si="10"/>
        <v>0</v>
      </c>
    </row>
    <row r="95" spans="1:54">
      <c r="A95" s="168">
        <v>4012</v>
      </c>
      <c r="B95" s="2">
        <v>137346</v>
      </c>
      <c r="C95" s="2" t="s">
        <v>296</v>
      </c>
      <c r="E95" s="164">
        <v>0</v>
      </c>
      <c r="F95" s="164"/>
      <c r="G95" s="164">
        <v>0</v>
      </c>
      <c r="H95" s="164">
        <v>0</v>
      </c>
      <c r="I95" s="164">
        <v>0</v>
      </c>
      <c r="J95" s="164">
        <v>0</v>
      </c>
      <c r="K95" s="171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47"/>
      <c r="AG95" s="163"/>
      <c r="AH95" s="163"/>
      <c r="AI95" s="163"/>
      <c r="AJ95" s="163"/>
      <c r="AK95" s="163"/>
      <c r="AL95" s="163"/>
      <c r="AM95" s="163"/>
      <c r="AN95" s="239"/>
      <c r="AO95" s="239"/>
      <c r="AP95" s="242"/>
      <c r="AQ95" s="242"/>
      <c r="AR95" s="242"/>
      <c r="AS95" s="166">
        <f t="shared" si="8"/>
        <v>0</v>
      </c>
      <c r="AU95" s="30">
        <f t="shared" si="11"/>
        <v>0</v>
      </c>
      <c r="AV95" s="30">
        <f t="shared" si="11"/>
        <v>0</v>
      </c>
      <c r="AW95" s="30">
        <f t="shared" si="11"/>
        <v>0</v>
      </c>
      <c r="AX95" s="30">
        <f t="shared" si="11"/>
        <v>0</v>
      </c>
      <c r="AY95" s="30">
        <f t="shared" si="11"/>
        <v>0</v>
      </c>
      <c r="AZ95" s="30">
        <f t="shared" si="11"/>
        <v>0</v>
      </c>
      <c r="BA95" s="30">
        <f t="shared" si="11"/>
        <v>0</v>
      </c>
      <c r="BB95" s="39">
        <f t="shared" si="10"/>
        <v>0</v>
      </c>
    </row>
    <row r="96" spans="1:54">
      <c r="A96" s="168">
        <v>2434</v>
      </c>
      <c r="B96" s="2">
        <v>141270</v>
      </c>
      <c r="C96" s="2" t="s">
        <v>297</v>
      </c>
      <c r="E96" s="164">
        <v>0</v>
      </c>
      <c r="F96" s="164"/>
      <c r="G96" s="164">
        <v>0</v>
      </c>
      <c r="H96" s="164">
        <v>0</v>
      </c>
      <c r="I96" s="164">
        <v>0</v>
      </c>
      <c r="J96" s="164">
        <v>0</v>
      </c>
      <c r="K96" s="171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47"/>
      <c r="AG96" s="163"/>
      <c r="AH96" s="163"/>
      <c r="AI96" s="163"/>
      <c r="AJ96" s="163"/>
      <c r="AK96" s="163"/>
      <c r="AL96" s="163"/>
      <c r="AM96" s="163"/>
      <c r="AN96" s="239"/>
      <c r="AO96" s="239"/>
      <c r="AP96" s="242"/>
      <c r="AQ96" s="242"/>
      <c r="AR96" s="242"/>
      <c r="AS96" s="166">
        <f t="shared" si="8"/>
        <v>0</v>
      </c>
      <c r="AU96" s="30">
        <f t="shared" si="11"/>
        <v>0</v>
      </c>
      <c r="AV96" s="30">
        <f t="shared" si="11"/>
        <v>0</v>
      </c>
      <c r="AW96" s="30">
        <f t="shared" si="11"/>
        <v>0</v>
      </c>
      <c r="AX96" s="30">
        <f t="shared" si="11"/>
        <v>0</v>
      </c>
      <c r="AY96" s="30">
        <f t="shared" si="11"/>
        <v>0</v>
      </c>
      <c r="AZ96" s="30">
        <f t="shared" si="11"/>
        <v>0</v>
      </c>
      <c r="BA96" s="30">
        <f t="shared" si="11"/>
        <v>0</v>
      </c>
      <c r="BB96" s="39">
        <f t="shared" si="10"/>
        <v>0</v>
      </c>
    </row>
    <row r="97" spans="1:54">
      <c r="A97" s="168">
        <v>3430</v>
      </c>
      <c r="B97" s="2">
        <v>143869</v>
      </c>
      <c r="C97" s="2" t="s">
        <v>298</v>
      </c>
      <c r="E97" s="164">
        <v>0</v>
      </c>
      <c r="F97" s="164"/>
      <c r="G97" s="164">
        <v>0</v>
      </c>
      <c r="H97" s="164">
        <v>0</v>
      </c>
      <c r="I97" s="164">
        <v>0</v>
      </c>
      <c r="J97" s="164">
        <v>0</v>
      </c>
      <c r="K97" s="171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47"/>
      <c r="AG97" s="163"/>
      <c r="AH97" s="163"/>
      <c r="AI97" s="163"/>
      <c r="AJ97" s="163"/>
      <c r="AK97" s="163"/>
      <c r="AL97" s="163"/>
      <c r="AM97" s="163"/>
      <c r="AN97" s="239"/>
      <c r="AO97" s="239"/>
      <c r="AP97" s="242"/>
      <c r="AQ97" s="242"/>
      <c r="AR97" s="242"/>
      <c r="AS97" s="166">
        <f t="shared" si="8"/>
        <v>0</v>
      </c>
      <c r="AU97" s="30">
        <f t="shared" si="11"/>
        <v>0</v>
      </c>
      <c r="AV97" s="30">
        <f t="shared" si="11"/>
        <v>0</v>
      </c>
      <c r="AW97" s="30">
        <f t="shared" si="11"/>
        <v>0</v>
      </c>
      <c r="AX97" s="30">
        <f t="shared" si="11"/>
        <v>0</v>
      </c>
      <c r="AY97" s="30">
        <f t="shared" si="11"/>
        <v>0</v>
      </c>
      <c r="AZ97" s="30">
        <f t="shared" si="11"/>
        <v>0</v>
      </c>
      <c r="BA97" s="30">
        <f t="shared" si="11"/>
        <v>0</v>
      </c>
      <c r="BB97" s="39">
        <f t="shared" si="10"/>
        <v>0</v>
      </c>
    </row>
    <row r="98" spans="1:54">
      <c r="A98" s="168">
        <v>2429</v>
      </c>
      <c r="B98" s="2">
        <v>149305</v>
      </c>
      <c r="C98" s="2" t="s">
        <v>299</v>
      </c>
      <c r="E98" s="164">
        <v>0</v>
      </c>
      <c r="F98" s="164"/>
      <c r="G98" s="164">
        <v>0</v>
      </c>
      <c r="H98" s="164">
        <v>0</v>
      </c>
      <c r="I98" s="164">
        <v>0</v>
      </c>
      <c r="J98" s="164">
        <v>0</v>
      </c>
      <c r="K98" s="171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47"/>
      <c r="AG98" s="163"/>
      <c r="AH98" s="163"/>
      <c r="AI98" s="163"/>
      <c r="AJ98" s="163"/>
      <c r="AK98" s="163"/>
      <c r="AL98" s="163"/>
      <c r="AM98" s="163"/>
      <c r="AN98" s="239"/>
      <c r="AO98" s="239"/>
      <c r="AP98" s="242"/>
      <c r="AQ98" s="242"/>
      <c r="AR98" s="242"/>
      <c r="AS98" s="166">
        <f t="shared" si="8"/>
        <v>0</v>
      </c>
      <c r="AU98" s="30">
        <f t="shared" si="11"/>
        <v>0</v>
      </c>
      <c r="AV98" s="30">
        <f t="shared" si="11"/>
        <v>0</v>
      </c>
      <c r="AW98" s="30">
        <f t="shared" si="11"/>
        <v>0</v>
      </c>
      <c r="AX98" s="30">
        <f t="shared" si="11"/>
        <v>0</v>
      </c>
      <c r="AY98" s="30">
        <f t="shared" si="11"/>
        <v>0</v>
      </c>
      <c r="AZ98" s="30">
        <f t="shared" si="11"/>
        <v>0</v>
      </c>
      <c r="BA98" s="30">
        <f t="shared" si="11"/>
        <v>0</v>
      </c>
      <c r="BB98" s="39">
        <f t="shared" si="10"/>
        <v>0</v>
      </c>
    </row>
    <row r="99" spans="1:54">
      <c r="A99" s="168">
        <v>2288</v>
      </c>
      <c r="B99" s="2">
        <v>149607</v>
      </c>
      <c r="C99" s="2" t="s">
        <v>300</v>
      </c>
      <c r="E99" s="164">
        <v>0</v>
      </c>
      <c r="F99" s="164"/>
      <c r="G99" s="164">
        <v>0</v>
      </c>
      <c r="H99" s="164">
        <v>0</v>
      </c>
      <c r="I99" s="164">
        <v>0</v>
      </c>
      <c r="J99" s="164">
        <v>0</v>
      </c>
      <c r="K99" s="171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47"/>
      <c r="AG99" s="163"/>
      <c r="AH99" s="163"/>
      <c r="AI99" s="163"/>
      <c r="AJ99" s="163"/>
      <c r="AK99" s="163"/>
      <c r="AL99" s="163"/>
      <c r="AM99" s="163"/>
      <c r="AN99" s="239"/>
      <c r="AO99" s="239"/>
      <c r="AP99" s="242"/>
      <c r="AQ99" s="242"/>
      <c r="AR99" s="242"/>
      <c r="AS99" s="166">
        <f t="shared" si="8"/>
        <v>0</v>
      </c>
      <c r="AU99" s="30">
        <f t="shared" si="11"/>
        <v>0</v>
      </c>
      <c r="AV99" s="30">
        <f t="shared" si="11"/>
        <v>0</v>
      </c>
      <c r="AW99" s="30">
        <f t="shared" si="11"/>
        <v>0</v>
      </c>
      <c r="AX99" s="30">
        <f t="shared" si="11"/>
        <v>0</v>
      </c>
      <c r="AY99" s="30">
        <f t="shared" si="11"/>
        <v>0</v>
      </c>
      <c r="AZ99" s="30">
        <f t="shared" si="11"/>
        <v>0</v>
      </c>
      <c r="BA99" s="30">
        <f t="shared" si="11"/>
        <v>0</v>
      </c>
      <c r="BB99" s="39">
        <f t="shared" si="10"/>
        <v>0</v>
      </c>
    </row>
    <row r="100" spans="1:54">
      <c r="A100" s="168">
        <v>3402</v>
      </c>
      <c r="B100" s="2">
        <v>140525</v>
      </c>
      <c r="C100" s="2" t="s">
        <v>301</v>
      </c>
      <c r="E100" s="164">
        <v>0</v>
      </c>
      <c r="F100" s="164"/>
      <c r="G100" s="164">
        <v>0</v>
      </c>
      <c r="H100" s="164">
        <v>0</v>
      </c>
      <c r="I100" s="164">
        <v>0</v>
      </c>
      <c r="J100" s="164">
        <v>0</v>
      </c>
      <c r="K100" s="171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47"/>
      <c r="AG100" s="163"/>
      <c r="AH100" s="163"/>
      <c r="AI100" s="163"/>
      <c r="AJ100" s="163"/>
      <c r="AK100" s="163"/>
      <c r="AL100" s="163"/>
      <c r="AM100" s="163"/>
      <c r="AN100" s="239"/>
      <c r="AO100" s="239"/>
      <c r="AP100" s="242"/>
      <c r="AQ100" s="242"/>
      <c r="AR100" s="242"/>
      <c r="AS100" s="166">
        <f t="shared" si="8"/>
        <v>0</v>
      </c>
      <c r="AU100" s="30">
        <f t="shared" si="11"/>
        <v>0</v>
      </c>
      <c r="AV100" s="30">
        <f t="shared" si="11"/>
        <v>0</v>
      </c>
      <c r="AW100" s="30">
        <f t="shared" si="11"/>
        <v>0</v>
      </c>
      <c r="AX100" s="30">
        <f t="shared" si="11"/>
        <v>0</v>
      </c>
      <c r="AY100" s="30">
        <f t="shared" si="11"/>
        <v>0</v>
      </c>
      <c r="AZ100" s="30">
        <f t="shared" si="11"/>
        <v>0</v>
      </c>
      <c r="BA100" s="30">
        <f t="shared" si="11"/>
        <v>0</v>
      </c>
      <c r="BB100" s="39">
        <f t="shared" si="10"/>
        <v>0</v>
      </c>
    </row>
    <row r="101" spans="1:54">
      <c r="A101" s="168">
        <v>2199</v>
      </c>
      <c r="B101" s="2">
        <v>147009</v>
      </c>
      <c r="C101" s="2" t="s">
        <v>302</v>
      </c>
      <c r="E101" s="164">
        <v>0</v>
      </c>
      <c r="F101" s="164"/>
      <c r="G101" s="164">
        <v>0</v>
      </c>
      <c r="H101" s="164">
        <v>0</v>
      </c>
      <c r="I101" s="164">
        <v>0</v>
      </c>
      <c r="J101" s="164">
        <v>0</v>
      </c>
      <c r="K101" s="171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47"/>
      <c r="AG101" s="163"/>
      <c r="AH101" s="163"/>
      <c r="AI101" s="163"/>
      <c r="AJ101" s="163"/>
      <c r="AK101" s="163"/>
      <c r="AL101" s="163"/>
      <c r="AM101" s="163"/>
      <c r="AN101" s="239"/>
      <c r="AO101" s="239"/>
      <c r="AP101" s="242"/>
      <c r="AQ101" s="242"/>
      <c r="AR101" s="242"/>
      <c r="AS101" s="166">
        <f t="shared" si="8"/>
        <v>0</v>
      </c>
      <c r="AU101" s="30">
        <f t="shared" si="11"/>
        <v>0</v>
      </c>
      <c r="AV101" s="30">
        <f t="shared" si="11"/>
        <v>0</v>
      </c>
      <c r="AW101" s="30">
        <f t="shared" si="11"/>
        <v>0</v>
      </c>
      <c r="AX101" s="30">
        <f t="shared" si="11"/>
        <v>0</v>
      </c>
      <c r="AY101" s="30">
        <f t="shared" si="11"/>
        <v>0</v>
      </c>
      <c r="AZ101" s="30">
        <f t="shared" si="11"/>
        <v>0</v>
      </c>
      <c r="BA101" s="30">
        <f t="shared" si="11"/>
        <v>0</v>
      </c>
      <c r="BB101" s="39">
        <f t="shared" si="10"/>
        <v>0</v>
      </c>
    </row>
    <row r="102" spans="1:54">
      <c r="A102" s="168">
        <v>4026</v>
      </c>
      <c r="B102" s="2">
        <v>144719</v>
      </c>
      <c r="C102" s="2" t="s">
        <v>303</v>
      </c>
      <c r="E102" s="164">
        <v>0</v>
      </c>
      <c r="F102" s="164"/>
      <c r="G102" s="164">
        <v>0</v>
      </c>
      <c r="H102" s="164">
        <v>0</v>
      </c>
      <c r="I102" s="164">
        <v>0</v>
      </c>
      <c r="J102" s="164">
        <v>0</v>
      </c>
      <c r="K102" s="171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47"/>
      <c r="AG102" s="163"/>
      <c r="AH102" s="163"/>
      <c r="AI102" s="163"/>
      <c r="AJ102" s="163"/>
      <c r="AK102" s="163"/>
      <c r="AL102" s="163"/>
      <c r="AM102" s="163"/>
      <c r="AN102" s="239"/>
      <c r="AO102" s="239"/>
      <c r="AP102" s="242"/>
      <c r="AQ102" s="242"/>
      <c r="AR102" s="242"/>
      <c r="AS102" s="166">
        <f t="shared" si="8"/>
        <v>0</v>
      </c>
      <c r="AU102" s="30">
        <f t="shared" si="11"/>
        <v>0</v>
      </c>
      <c r="AV102" s="30">
        <f t="shared" si="11"/>
        <v>0</v>
      </c>
      <c r="AW102" s="30">
        <f t="shared" si="11"/>
        <v>0</v>
      </c>
      <c r="AX102" s="30">
        <f t="shared" si="11"/>
        <v>0</v>
      </c>
      <c r="AY102" s="30">
        <f t="shared" si="11"/>
        <v>0</v>
      </c>
      <c r="AZ102" s="30">
        <f t="shared" si="11"/>
        <v>0</v>
      </c>
      <c r="BA102" s="30">
        <f t="shared" si="11"/>
        <v>0</v>
      </c>
      <c r="BB102" s="39">
        <f t="shared" si="10"/>
        <v>0</v>
      </c>
    </row>
    <row r="103" spans="1:54">
      <c r="A103" s="168">
        <v>3303</v>
      </c>
      <c r="B103" s="2">
        <v>140463</v>
      </c>
      <c r="C103" s="2" t="s">
        <v>304</v>
      </c>
      <c r="E103" s="164">
        <v>0</v>
      </c>
      <c r="F103" s="164"/>
      <c r="G103" s="164">
        <v>0</v>
      </c>
      <c r="H103" s="164">
        <v>0</v>
      </c>
      <c r="I103" s="164">
        <v>0</v>
      </c>
      <c r="J103" s="164">
        <v>0</v>
      </c>
      <c r="K103" s="171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47"/>
      <c r="AG103" s="163"/>
      <c r="AH103" s="163"/>
      <c r="AI103" s="163"/>
      <c r="AJ103" s="163"/>
      <c r="AK103" s="163"/>
      <c r="AL103" s="163"/>
      <c r="AM103" s="163"/>
      <c r="AN103" s="239"/>
      <c r="AO103" s="239"/>
      <c r="AP103" s="242"/>
      <c r="AQ103" s="242"/>
      <c r="AR103" s="242"/>
      <c r="AS103" s="166">
        <f t="shared" si="8"/>
        <v>0</v>
      </c>
      <c r="AU103" s="30">
        <f t="shared" si="11"/>
        <v>0</v>
      </c>
      <c r="AV103" s="30">
        <f t="shared" si="11"/>
        <v>0</v>
      </c>
      <c r="AW103" s="30">
        <f t="shared" si="11"/>
        <v>0</v>
      </c>
      <c r="AX103" s="30">
        <f t="shared" si="11"/>
        <v>0</v>
      </c>
      <c r="AY103" s="30">
        <f t="shared" si="11"/>
        <v>0</v>
      </c>
      <c r="AZ103" s="30">
        <f t="shared" si="11"/>
        <v>0</v>
      </c>
      <c r="BA103" s="30">
        <f t="shared" si="11"/>
        <v>0</v>
      </c>
      <c r="BB103" s="39">
        <f t="shared" ref="BB103:BB134" si="12">SUM(AU103:BA103)-AS103</f>
        <v>0</v>
      </c>
    </row>
    <row r="104" spans="1:54">
      <c r="A104" s="168">
        <v>4241</v>
      </c>
      <c r="B104" s="2">
        <v>137034</v>
      </c>
      <c r="C104" s="2" t="s">
        <v>305</v>
      </c>
      <c r="E104" s="164">
        <v>0</v>
      </c>
      <c r="F104" s="164"/>
      <c r="G104" s="164">
        <v>0</v>
      </c>
      <c r="H104" s="164">
        <v>0</v>
      </c>
      <c r="I104" s="164">
        <v>0</v>
      </c>
      <c r="J104" s="164">
        <v>0</v>
      </c>
      <c r="K104" s="171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47"/>
      <c r="AG104" s="163"/>
      <c r="AH104" s="163"/>
      <c r="AI104" s="163"/>
      <c r="AJ104" s="163"/>
      <c r="AK104" s="163"/>
      <c r="AL104" s="163"/>
      <c r="AM104" s="163"/>
      <c r="AN104" s="239"/>
      <c r="AO104" s="239"/>
      <c r="AP104" s="242"/>
      <c r="AQ104" s="242"/>
      <c r="AR104" s="242"/>
      <c r="AS104" s="166">
        <f t="shared" si="8"/>
        <v>0</v>
      </c>
      <c r="AU104" s="30">
        <f t="shared" si="11"/>
        <v>0</v>
      </c>
      <c r="AV104" s="30">
        <f t="shared" si="11"/>
        <v>0</v>
      </c>
      <c r="AW104" s="30">
        <f t="shared" si="11"/>
        <v>0</v>
      </c>
      <c r="AX104" s="30">
        <f t="shared" si="11"/>
        <v>0</v>
      </c>
      <c r="AY104" s="30">
        <f t="shared" si="11"/>
        <v>0</v>
      </c>
      <c r="AZ104" s="30">
        <f t="shared" si="11"/>
        <v>0</v>
      </c>
      <c r="BA104" s="30">
        <f t="shared" si="11"/>
        <v>0</v>
      </c>
      <c r="BB104" s="39">
        <f t="shared" si="12"/>
        <v>0</v>
      </c>
    </row>
    <row r="105" spans="1:54">
      <c r="A105" s="168">
        <v>7063</v>
      </c>
      <c r="B105" s="2">
        <v>139526</v>
      </c>
      <c r="C105" s="2" t="s">
        <v>306</v>
      </c>
      <c r="E105" s="164">
        <v>580223.94557213143</v>
      </c>
      <c r="F105" s="164"/>
      <c r="G105" s="164">
        <v>140112.5149511715</v>
      </c>
      <c r="H105" s="164">
        <v>95762.37999999999</v>
      </c>
      <c r="I105" s="164">
        <v>8148.35</v>
      </c>
      <c r="J105" s="164">
        <v>10870.52</v>
      </c>
      <c r="K105" s="171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47"/>
      <c r="AG105" s="163"/>
      <c r="AH105" s="163"/>
      <c r="AI105" s="163"/>
      <c r="AJ105" s="163"/>
      <c r="AK105" s="163"/>
      <c r="AL105" s="163"/>
      <c r="AM105" s="163"/>
      <c r="AN105" s="239"/>
      <c r="AO105" s="239"/>
      <c r="AP105" s="242"/>
      <c r="AQ105" s="242"/>
      <c r="AR105" s="242"/>
      <c r="AS105" s="166">
        <f t="shared" si="8"/>
        <v>835117.7105233029</v>
      </c>
      <c r="AU105" s="30">
        <f t="shared" si="11"/>
        <v>19018.870000000003</v>
      </c>
      <c r="AV105" s="30">
        <f t="shared" si="11"/>
        <v>0</v>
      </c>
      <c r="AW105" s="30">
        <f t="shared" si="11"/>
        <v>816098.8405233029</v>
      </c>
      <c r="AX105" s="30">
        <f t="shared" si="11"/>
        <v>0</v>
      </c>
      <c r="AY105" s="30">
        <f t="shared" si="11"/>
        <v>0</v>
      </c>
      <c r="AZ105" s="30">
        <f t="shared" si="11"/>
        <v>0</v>
      </c>
      <c r="BA105" s="30">
        <f t="shared" si="11"/>
        <v>0</v>
      </c>
      <c r="BB105" s="39">
        <f t="shared" si="12"/>
        <v>0</v>
      </c>
    </row>
    <row r="106" spans="1:54">
      <c r="A106" s="168">
        <v>2111</v>
      </c>
      <c r="B106" s="2">
        <v>142353</v>
      </c>
      <c r="C106" s="2" t="s">
        <v>307</v>
      </c>
      <c r="E106" s="164">
        <v>0</v>
      </c>
      <c r="F106" s="164"/>
      <c r="G106" s="164">
        <v>0</v>
      </c>
      <c r="H106" s="164">
        <v>0</v>
      </c>
      <c r="I106" s="164">
        <v>0</v>
      </c>
      <c r="J106" s="164">
        <v>0</v>
      </c>
      <c r="K106" s="171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47"/>
      <c r="AG106" s="163"/>
      <c r="AH106" s="163"/>
      <c r="AI106" s="163"/>
      <c r="AJ106" s="163"/>
      <c r="AK106" s="163"/>
      <c r="AL106" s="163"/>
      <c r="AM106" s="163"/>
      <c r="AN106" s="239"/>
      <c r="AO106" s="239"/>
      <c r="AP106" s="242"/>
      <c r="AQ106" s="242"/>
      <c r="AR106" s="242"/>
      <c r="AS106" s="166">
        <f t="shared" si="8"/>
        <v>0</v>
      </c>
      <c r="AU106" s="30">
        <f t="shared" si="11"/>
        <v>0</v>
      </c>
      <c r="AV106" s="30">
        <f t="shared" si="11"/>
        <v>0</v>
      </c>
      <c r="AW106" s="30">
        <f t="shared" si="11"/>
        <v>0</v>
      </c>
      <c r="AX106" s="30">
        <f t="shared" si="11"/>
        <v>0</v>
      </c>
      <c r="AY106" s="30">
        <f t="shared" si="11"/>
        <v>0</v>
      </c>
      <c r="AZ106" s="30">
        <f t="shared" si="11"/>
        <v>0</v>
      </c>
      <c r="BA106" s="30">
        <f t="shared" si="11"/>
        <v>0</v>
      </c>
      <c r="BB106" s="39">
        <f t="shared" si="12"/>
        <v>0</v>
      </c>
    </row>
    <row r="107" spans="1:54">
      <c r="A107" s="168">
        <v>4016</v>
      </c>
      <c r="B107" s="2">
        <v>141003</v>
      </c>
      <c r="C107" s="2" t="s">
        <v>308</v>
      </c>
      <c r="E107" s="164">
        <v>0</v>
      </c>
      <c r="F107" s="164"/>
      <c r="G107" s="164">
        <v>0</v>
      </c>
      <c r="H107" s="164">
        <v>0</v>
      </c>
      <c r="I107" s="164">
        <v>0</v>
      </c>
      <c r="J107" s="164">
        <v>0</v>
      </c>
      <c r="K107" s="171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47"/>
      <c r="AG107" s="163"/>
      <c r="AH107" s="163"/>
      <c r="AI107" s="163"/>
      <c r="AJ107" s="163"/>
      <c r="AK107" s="163"/>
      <c r="AL107" s="163"/>
      <c r="AM107" s="163"/>
      <c r="AN107" s="239"/>
      <c r="AO107" s="239"/>
      <c r="AP107" s="242"/>
      <c r="AQ107" s="242"/>
      <c r="AR107" s="242"/>
      <c r="AS107" s="166">
        <f t="shared" si="8"/>
        <v>0</v>
      </c>
      <c r="AU107" s="30">
        <f t="shared" si="11"/>
        <v>0</v>
      </c>
      <c r="AV107" s="30">
        <f t="shared" si="11"/>
        <v>0</v>
      </c>
      <c r="AW107" s="30">
        <f t="shared" si="11"/>
        <v>0</v>
      </c>
      <c r="AX107" s="30">
        <f t="shared" si="11"/>
        <v>0</v>
      </c>
      <c r="AY107" s="30">
        <f t="shared" si="11"/>
        <v>0</v>
      </c>
      <c r="AZ107" s="30">
        <f t="shared" si="11"/>
        <v>0</v>
      </c>
      <c r="BA107" s="30">
        <f t="shared" si="11"/>
        <v>0</v>
      </c>
      <c r="BB107" s="39">
        <f t="shared" si="12"/>
        <v>0</v>
      </c>
    </row>
    <row r="108" spans="1:54">
      <c r="A108" s="168">
        <v>5408</v>
      </c>
      <c r="B108" s="2">
        <v>137043</v>
      </c>
      <c r="C108" s="2" t="s">
        <v>309</v>
      </c>
      <c r="E108" s="164">
        <v>0</v>
      </c>
      <c r="F108" s="164"/>
      <c r="G108" s="164">
        <v>0</v>
      </c>
      <c r="H108" s="164">
        <v>0</v>
      </c>
      <c r="I108" s="164">
        <v>0</v>
      </c>
      <c r="J108" s="164">
        <v>0</v>
      </c>
      <c r="K108" s="171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47"/>
      <c r="AG108" s="163"/>
      <c r="AH108" s="163"/>
      <c r="AI108" s="163"/>
      <c r="AJ108" s="163"/>
      <c r="AK108" s="163"/>
      <c r="AL108" s="163"/>
      <c r="AM108" s="163"/>
      <c r="AN108" s="239"/>
      <c r="AO108" s="239"/>
      <c r="AP108" s="242"/>
      <c r="AQ108" s="242"/>
      <c r="AR108" s="242"/>
      <c r="AS108" s="166">
        <f t="shared" si="8"/>
        <v>0</v>
      </c>
      <c r="AU108" s="30">
        <f t="shared" si="11"/>
        <v>0</v>
      </c>
      <c r="AV108" s="30">
        <f t="shared" si="11"/>
        <v>0</v>
      </c>
      <c r="AW108" s="30">
        <f t="shared" si="11"/>
        <v>0</v>
      </c>
      <c r="AX108" s="30">
        <f t="shared" si="11"/>
        <v>0</v>
      </c>
      <c r="AY108" s="30">
        <f t="shared" si="11"/>
        <v>0</v>
      </c>
      <c r="AZ108" s="30">
        <f t="shared" si="11"/>
        <v>0</v>
      </c>
      <c r="BA108" s="30">
        <f t="shared" si="11"/>
        <v>0</v>
      </c>
      <c r="BB108" s="39">
        <f t="shared" si="12"/>
        <v>0</v>
      </c>
    </row>
    <row r="109" spans="1:54">
      <c r="A109" s="168">
        <v>4036</v>
      </c>
      <c r="B109" s="2">
        <v>147440</v>
      </c>
      <c r="C109" s="2" t="s">
        <v>310</v>
      </c>
      <c r="E109" s="164">
        <v>0</v>
      </c>
      <c r="F109" s="164"/>
      <c r="G109" s="164">
        <v>0</v>
      </c>
      <c r="H109" s="164">
        <v>0</v>
      </c>
      <c r="I109" s="164">
        <v>0</v>
      </c>
      <c r="J109" s="164">
        <v>0</v>
      </c>
      <c r="K109" s="171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47"/>
      <c r="AG109" s="163"/>
      <c r="AH109" s="163"/>
      <c r="AI109" s="163"/>
      <c r="AJ109" s="163"/>
      <c r="AK109" s="163"/>
      <c r="AL109" s="163"/>
      <c r="AM109" s="163"/>
      <c r="AN109" s="239"/>
      <c r="AO109" s="239"/>
      <c r="AP109" s="242"/>
      <c r="AQ109" s="242"/>
      <c r="AR109" s="242"/>
      <c r="AS109" s="166">
        <f t="shared" si="8"/>
        <v>0</v>
      </c>
      <c r="AU109" s="30">
        <f t="shared" si="11"/>
        <v>0</v>
      </c>
      <c r="AV109" s="30">
        <f t="shared" si="11"/>
        <v>0</v>
      </c>
      <c r="AW109" s="30">
        <f t="shared" si="11"/>
        <v>0</v>
      </c>
      <c r="AX109" s="30">
        <f t="shared" si="11"/>
        <v>0</v>
      </c>
      <c r="AY109" s="30">
        <f t="shared" si="11"/>
        <v>0</v>
      </c>
      <c r="AZ109" s="30">
        <f t="shared" si="11"/>
        <v>0</v>
      </c>
      <c r="BA109" s="30">
        <f t="shared" si="11"/>
        <v>0</v>
      </c>
      <c r="BB109" s="39">
        <f t="shared" si="12"/>
        <v>0</v>
      </c>
    </row>
    <row r="110" spans="1:54">
      <c r="A110" s="168">
        <v>5407</v>
      </c>
      <c r="B110" s="2">
        <v>137045</v>
      </c>
      <c r="C110" s="2" t="s">
        <v>311</v>
      </c>
      <c r="E110" s="164">
        <v>0</v>
      </c>
      <c r="F110" s="164"/>
      <c r="G110" s="164">
        <v>0</v>
      </c>
      <c r="H110" s="164">
        <v>0</v>
      </c>
      <c r="I110" s="164">
        <v>0</v>
      </c>
      <c r="J110" s="164">
        <v>0</v>
      </c>
      <c r="K110" s="171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47"/>
      <c r="AG110" s="163"/>
      <c r="AH110" s="163"/>
      <c r="AI110" s="163"/>
      <c r="AJ110" s="163"/>
      <c r="AK110" s="163"/>
      <c r="AL110" s="163"/>
      <c r="AM110" s="163"/>
      <c r="AN110" s="239"/>
      <c r="AO110" s="239"/>
      <c r="AP110" s="242"/>
      <c r="AQ110" s="242"/>
      <c r="AR110" s="242"/>
      <c r="AS110" s="166">
        <f t="shared" si="8"/>
        <v>0</v>
      </c>
      <c r="AU110" s="30">
        <f t="shared" si="11"/>
        <v>0</v>
      </c>
      <c r="AV110" s="30">
        <f t="shared" si="11"/>
        <v>0</v>
      </c>
      <c r="AW110" s="30">
        <f t="shared" si="11"/>
        <v>0</v>
      </c>
      <c r="AX110" s="30">
        <f t="shared" si="11"/>
        <v>0</v>
      </c>
      <c r="AY110" s="30">
        <f t="shared" si="11"/>
        <v>0</v>
      </c>
      <c r="AZ110" s="30">
        <f t="shared" si="11"/>
        <v>0</v>
      </c>
      <c r="BA110" s="30">
        <f t="shared" si="11"/>
        <v>0</v>
      </c>
      <c r="BB110" s="39">
        <f t="shared" si="12"/>
        <v>0</v>
      </c>
    </row>
    <row r="111" spans="1:54">
      <c r="A111" s="168">
        <v>5406</v>
      </c>
      <c r="B111" s="2">
        <v>137044</v>
      </c>
      <c r="C111" s="2" t="s">
        <v>312</v>
      </c>
      <c r="E111" s="164">
        <v>0</v>
      </c>
      <c r="F111" s="164"/>
      <c r="G111" s="164">
        <v>0</v>
      </c>
      <c r="H111" s="164">
        <v>0</v>
      </c>
      <c r="I111" s="164">
        <v>0</v>
      </c>
      <c r="J111" s="164">
        <v>0</v>
      </c>
      <c r="K111" s="171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47"/>
      <c r="AG111" s="163"/>
      <c r="AH111" s="163"/>
      <c r="AI111" s="163"/>
      <c r="AJ111" s="163"/>
      <c r="AK111" s="163"/>
      <c r="AL111" s="163"/>
      <c r="AM111" s="163"/>
      <c r="AN111" s="239"/>
      <c r="AO111" s="239"/>
      <c r="AP111" s="242"/>
      <c r="AQ111" s="242"/>
      <c r="AR111" s="242"/>
      <c r="AS111" s="166">
        <f t="shared" si="8"/>
        <v>0</v>
      </c>
      <c r="AU111" s="30">
        <f t="shared" si="11"/>
        <v>0</v>
      </c>
      <c r="AV111" s="30">
        <f t="shared" si="11"/>
        <v>0</v>
      </c>
      <c r="AW111" s="30">
        <f t="shared" si="11"/>
        <v>0</v>
      </c>
      <c r="AX111" s="30">
        <f t="shared" si="11"/>
        <v>0</v>
      </c>
      <c r="AY111" s="30">
        <f t="shared" si="11"/>
        <v>0</v>
      </c>
      <c r="AZ111" s="30">
        <f t="shared" ref="AU111:BA136" si="13">SUMIF($E$3:$AR$3,AZ$6,$E111:$AR111)</f>
        <v>0</v>
      </c>
      <c r="BA111" s="30">
        <f t="shared" si="13"/>
        <v>0</v>
      </c>
      <c r="BB111" s="39">
        <f t="shared" si="12"/>
        <v>0</v>
      </c>
    </row>
    <row r="112" spans="1:54">
      <c r="A112" s="168">
        <v>5405</v>
      </c>
      <c r="B112" s="2">
        <v>137046</v>
      </c>
      <c r="C112" s="2" t="s">
        <v>313</v>
      </c>
      <c r="E112" s="164">
        <v>0</v>
      </c>
      <c r="F112" s="164"/>
      <c r="G112" s="164">
        <v>0</v>
      </c>
      <c r="H112" s="164">
        <v>0</v>
      </c>
      <c r="I112" s="164">
        <v>0</v>
      </c>
      <c r="J112" s="164">
        <v>0</v>
      </c>
      <c r="K112" s="171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47"/>
      <c r="AG112" s="163"/>
      <c r="AH112" s="163"/>
      <c r="AI112" s="163"/>
      <c r="AJ112" s="163"/>
      <c r="AK112" s="163"/>
      <c r="AL112" s="163"/>
      <c r="AM112" s="163"/>
      <c r="AN112" s="239"/>
      <c r="AO112" s="239"/>
      <c r="AP112" s="242"/>
      <c r="AQ112" s="242"/>
      <c r="AR112" s="242"/>
      <c r="AS112" s="166">
        <f t="shared" si="8"/>
        <v>0</v>
      </c>
      <c r="AU112" s="30">
        <f t="shared" si="13"/>
        <v>0</v>
      </c>
      <c r="AV112" s="30">
        <f t="shared" si="13"/>
        <v>0</v>
      </c>
      <c r="AW112" s="30">
        <f t="shared" si="13"/>
        <v>0</v>
      </c>
      <c r="AX112" s="30">
        <f t="shared" si="13"/>
        <v>0</v>
      </c>
      <c r="AY112" s="30">
        <f t="shared" si="13"/>
        <v>0</v>
      </c>
      <c r="AZ112" s="30">
        <f t="shared" si="13"/>
        <v>0</v>
      </c>
      <c r="BA112" s="30">
        <f t="shared" si="13"/>
        <v>0</v>
      </c>
      <c r="BB112" s="39">
        <f t="shared" si="12"/>
        <v>0</v>
      </c>
    </row>
    <row r="113" spans="1:54">
      <c r="A113" s="168">
        <v>5402</v>
      </c>
      <c r="B113" s="2">
        <v>143562</v>
      </c>
      <c r="C113" s="2" t="s">
        <v>314</v>
      </c>
      <c r="E113" s="164">
        <v>0</v>
      </c>
      <c r="F113" s="164"/>
      <c r="G113" s="164">
        <v>0</v>
      </c>
      <c r="H113" s="164">
        <v>0</v>
      </c>
      <c r="I113" s="164">
        <v>0</v>
      </c>
      <c r="J113" s="164">
        <v>0</v>
      </c>
      <c r="K113" s="171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47"/>
      <c r="AG113" s="163"/>
      <c r="AH113" s="163"/>
      <c r="AI113" s="163"/>
      <c r="AJ113" s="163"/>
      <c r="AK113" s="163"/>
      <c r="AL113" s="163"/>
      <c r="AM113" s="163"/>
      <c r="AN113" s="239"/>
      <c r="AO113" s="239"/>
      <c r="AP113" s="242"/>
      <c r="AQ113" s="242"/>
      <c r="AR113" s="242"/>
      <c r="AS113" s="166">
        <f t="shared" si="8"/>
        <v>0</v>
      </c>
      <c r="AU113" s="30">
        <f t="shared" si="13"/>
        <v>0</v>
      </c>
      <c r="AV113" s="30">
        <f t="shared" si="13"/>
        <v>0</v>
      </c>
      <c r="AW113" s="30">
        <f t="shared" si="13"/>
        <v>0</v>
      </c>
      <c r="AX113" s="30">
        <f t="shared" si="13"/>
        <v>0</v>
      </c>
      <c r="AY113" s="30">
        <f t="shared" si="13"/>
        <v>0</v>
      </c>
      <c r="AZ113" s="30">
        <f t="shared" si="13"/>
        <v>0</v>
      </c>
      <c r="BA113" s="30">
        <f t="shared" si="13"/>
        <v>0</v>
      </c>
      <c r="BB113" s="39">
        <f t="shared" si="12"/>
        <v>0</v>
      </c>
    </row>
    <row r="114" spans="1:54">
      <c r="A114" s="168">
        <v>5404</v>
      </c>
      <c r="B114" s="2">
        <v>137047</v>
      </c>
      <c r="C114" s="2" t="s">
        <v>315</v>
      </c>
      <c r="E114" s="164">
        <v>0</v>
      </c>
      <c r="F114" s="164"/>
      <c r="G114" s="164">
        <v>0</v>
      </c>
      <c r="H114" s="164">
        <v>0</v>
      </c>
      <c r="I114" s="164">
        <v>0</v>
      </c>
      <c r="J114" s="164">
        <v>0</v>
      </c>
      <c r="K114" s="171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47"/>
      <c r="AG114" s="163"/>
      <c r="AH114" s="163"/>
      <c r="AI114" s="163"/>
      <c r="AJ114" s="163"/>
      <c r="AK114" s="163"/>
      <c r="AL114" s="163"/>
      <c r="AM114" s="163"/>
      <c r="AN114" s="239"/>
      <c r="AO114" s="239"/>
      <c r="AP114" s="242"/>
      <c r="AQ114" s="242"/>
      <c r="AR114" s="242"/>
      <c r="AS114" s="166">
        <f t="shared" si="8"/>
        <v>0</v>
      </c>
      <c r="AU114" s="30">
        <f t="shared" si="13"/>
        <v>0</v>
      </c>
      <c r="AV114" s="30">
        <f t="shared" si="13"/>
        <v>0</v>
      </c>
      <c r="AW114" s="30">
        <f t="shared" si="13"/>
        <v>0</v>
      </c>
      <c r="AX114" s="30">
        <f t="shared" si="13"/>
        <v>0</v>
      </c>
      <c r="AY114" s="30">
        <f t="shared" si="13"/>
        <v>0</v>
      </c>
      <c r="AZ114" s="30">
        <f t="shared" si="13"/>
        <v>0</v>
      </c>
      <c r="BA114" s="30">
        <f t="shared" si="13"/>
        <v>0</v>
      </c>
      <c r="BB114" s="39">
        <f t="shared" si="12"/>
        <v>0</v>
      </c>
    </row>
    <row r="115" spans="1:54">
      <c r="A115" s="168">
        <v>4207</v>
      </c>
      <c r="B115" s="2">
        <v>138937</v>
      </c>
      <c r="C115" s="2" t="s">
        <v>316</v>
      </c>
      <c r="E115" s="164">
        <v>0</v>
      </c>
      <c r="F115" s="164"/>
      <c r="G115" s="164">
        <v>0</v>
      </c>
      <c r="H115" s="164">
        <v>0</v>
      </c>
      <c r="I115" s="164">
        <v>0</v>
      </c>
      <c r="J115" s="164">
        <v>0</v>
      </c>
      <c r="K115" s="171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47"/>
      <c r="AG115" s="163"/>
      <c r="AH115" s="163"/>
      <c r="AI115" s="163"/>
      <c r="AJ115" s="163"/>
      <c r="AK115" s="163"/>
      <c r="AL115" s="163"/>
      <c r="AM115" s="163"/>
      <c r="AN115" s="239"/>
      <c r="AO115" s="239"/>
      <c r="AP115" s="242"/>
      <c r="AQ115" s="242"/>
      <c r="AR115" s="242"/>
      <c r="AS115" s="166">
        <f t="shared" si="8"/>
        <v>0</v>
      </c>
      <c r="AU115" s="30">
        <f t="shared" si="13"/>
        <v>0</v>
      </c>
      <c r="AV115" s="30">
        <f t="shared" si="13"/>
        <v>0</v>
      </c>
      <c r="AW115" s="30">
        <f t="shared" si="13"/>
        <v>0</v>
      </c>
      <c r="AX115" s="30">
        <f t="shared" si="13"/>
        <v>0</v>
      </c>
      <c r="AY115" s="30">
        <f t="shared" si="13"/>
        <v>0</v>
      </c>
      <c r="AZ115" s="30">
        <f t="shared" si="13"/>
        <v>0</v>
      </c>
      <c r="BA115" s="30">
        <f t="shared" si="13"/>
        <v>0</v>
      </c>
      <c r="BB115" s="39">
        <f t="shared" si="12"/>
        <v>0</v>
      </c>
    </row>
    <row r="116" spans="1:54">
      <c r="A116" s="168">
        <v>5415</v>
      </c>
      <c r="B116" s="2">
        <v>150320</v>
      </c>
      <c r="C116" s="2" t="s">
        <v>317</v>
      </c>
      <c r="E116" s="164">
        <v>0</v>
      </c>
      <c r="F116" s="164"/>
      <c r="G116" s="164">
        <v>0</v>
      </c>
      <c r="H116" s="164">
        <v>0</v>
      </c>
      <c r="I116" s="164">
        <v>0</v>
      </c>
      <c r="J116" s="164">
        <v>0</v>
      </c>
      <c r="K116" s="171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47"/>
      <c r="AG116" s="163"/>
      <c r="AH116" s="163"/>
      <c r="AI116" s="163"/>
      <c r="AJ116" s="163"/>
      <c r="AK116" s="163"/>
      <c r="AL116" s="163"/>
      <c r="AM116" s="163"/>
      <c r="AN116" s="239"/>
      <c r="AO116" s="239"/>
      <c r="AP116" s="242"/>
      <c r="AQ116" s="242"/>
      <c r="AR116" s="242"/>
      <c r="AS116" s="166">
        <f t="shared" si="8"/>
        <v>0</v>
      </c>
      <c r="AU116" s="30">
        <f t="shared" si="13"/>
        <v>0</v>
      </c>
      <c r="AV116" s="30">
        <f t="shared" si="13"/>
        <v>0</v>
      </c>
      <c r="AW116" s="30">
        <f t="shared" si="13"/>
        <v>0</v>
      </c>
      <c r="AX116" s="30">
        <f t="shared" si="13"/>
        <v>0</v>
      </c>
      <c r="AY116" s="30">
        <f t="shared" si="13"/>
        <v>0</v>
      </c>
      <c r="AZ116" s="30">
        <f t="shared" si="13"/>
        <v>0</v>
      </c>
      <c r="BA116" s="30">
        <f t="shared" si="13"/>
        <v>0</v>
      </c>
      <c r="BB116" s="39">
        <f t="shared" si="12"/>
        <v>0</v>
      </c>
    </row>
    <row r="117" spans="1:54">
      <c r="A117" s="168">
        <v>4060</v>
      </c>
      <c r="B117" s="2">
        <v>136592</v>
      </c>
      <c r="C117" s="2" t="s">
        <v>318</v>
      </c>
      <c r="E117" s="164">
        <v>0</v>
      </c>
      <c r="F117" s="164"/>
      <c r="G117" s="164">
        <v>0</v>
      </c>
      <c r="H117" s="164">
        <v>0</v>
      </c>
      <c r="I117" s="164">
        <v>0</v>
      </c>
      <c r="J117" s="164">
        <v>0</v>
      </c>
      <c r="K117" s="171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47"/>
      <c r="AG117" s="163"/>
      <c r="AH117" s="163"/>
      <c r="AI117" s="163"/>
      <c r="AJ117" s="163"/>
      <c r="AK117" s="163"/>
      <c r="AL117" s="163"/>
      <c r="AM117" s="163"/>
      <c r="AN117" s="239"/>
      <c r="AO117" s="239"/>
      <c r="AP117" s="242"/>
      <c r="AQ117" s="242"/>
      <c r="AR117" s="242"/>
      <c r="AS117" s="166">
        <f t="shared" si="8"/>
        <v>0</v>
      </c>
      <c r="AU117" s="30">
        <f t="shared" si="13"/>
        <v>0</v>
      </c>
      <c r="AV117" s="30">
        <f t="shared" si="13"/>
        <v>0</v>
      </c>
      <c r="AW117" s="30">
        <f t="shared" si="13"/>
        <v>0</v>
      </c>
      <c r="AX117" s="30">
        <f t="shared" si="13"/>
        <v>0</v>
      </c>
      <c r="AY117" s="30">
        <f t="shared" si="13"/>
        <v>0</v>
      </c>
      <c r="AZ117" s="30">
        <f t="shared" si="13"/>
        <v>0</v>
      </c>
      <c r="BA117" s="30">
        <f t="shared" si="13"/>
        <v>0</v>
      </c>
      <c r="BB117" s="39">
        <f t="shared" si="12"/>
        <v>0</v>
      </c>
    </row>
    <row r="118" spans="1:54">
      <c r="A118" s="168">
        <v>4187</v>
      </c>
      <c r="B118" s="2">
        <v>148684</v>
      </c>
      <c r="C118" s="2" t="s">
        <v>319</v>
      </c>
      <c r="E118" s="164">
        <v>0</v>
      </c>
      <c r="F118" s="164"/>
      <c r="G118" s="164">
        <v>0</v>
      </c>
      <c r="H118" s="164">
        <v>0</v>
      </c>
      <c r="I118" s="164">
        <v>0</v>
      </c>
      <c r="J118" s="164">
        <v>0</v>
      </c>
      <c r="K118" s="171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47"/>
      <c r="AG118" s="163"/>
      <c r="AH118" s="163"/>
      <c r="AI118" s="163"/>
      <c r="AJ118" s="163"/>
      <c r="AK118" s="163"/>
      <c r="AL118" s="163"/>
      <c r="AM118" s="163"/>
      <c r="AN118" s="239"/>
      <c r="AO118" s="239"/>
      <c r="AP118" s="242"/>
      <c r="AQ118" s="242"/>
      <c r="AR118" s="242"/>
      <c r="AS118" s="166">
        <f t="shared" si="8"/>
        <v>0</v>
      </c>
      <c r="AU118" s="30">
        <f t="shared" si="13"/>
        <v>0</v>
      </c>
      <c r="AV118" s="30">
        <f t="shared" si="13"/>
        <v>0</v>
      </c>
      <c r="AW118" s="30">
        <f t="shared" si="13"/>
        <v>0</v>
      </c>
      <c r="AX118" s="30">
        <f t="shared" si="13"/>
        <v>0</v>
      </c>
      <c r="AY118" s="30">
        <f t="shared" si="13"/>
        <v>0</v>
      </c>
      <c r="AZ118" s="30">
        <f t="shared" si="13"/>
        <v>0</v>
      </c>
      <c r="BA118" s="30">
        <f t="shared" si="13"/>
        <v>0</v>
      </c>
      <c r="BB118" s="39">
        <f t="shared" si="12"/>
        <v>0</v>
      </c>
    </row>
    <row r="119" spans="1:54">
      <c r="A119" s="168">
        <v>6906</v>
      </c>
      <c r="B119" s="2">
        <v>136152</v>
      </c>
      <c r="C119" s="2" t="s">
        <v>320</v>
      </c>
      <c r="E119" s="164">
        <v>0</v>
      </c>
      <c r="F119" s="164"/>
      <c r="G119" s="164">
        <v>0</v>
      </c>
      <c r="H119" s="164">
        <v>0</v>
      </c>
      <c r="I119" s="164">
        <v>0</v>
      </c>
      <c r="J119" s="164">
        <v>0</v>
      </c>
      <c r="K119" s="171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47"/>
      <c r="AG119" s="163"/>
      <c r="AH119" s="163"/>
      <c r="AI119" s="163"/>
      <c r="AJ119" s="163"/>
      <c r="AK119" s="163"/>
      <c r="AL119" s="163"/>
      <c r="AM119" s="163"/>
      <c r="AN119" s="239"/>
      <c r="AO119" s="239"/>
      <c r="AP119" s="242"/>
      <c r="AQ119" s="242"/>
      <c r="AR119" s="242"/>
      <c r="AS119" s="166">
        <f t="shared" si="8"/>
        <v>0</v>
      </c>
      <c r="AU119" s="30">
        <f t="shared" si="13"/>
        <v>0</v>
      </c>
      <c r="AV119" s="30">
        <f t="shared" si="13"/>
        <v>0</v>
      </c>
      <c r="AW119" s="30">
        <f t="shared" si="13"/>
        <v>0</v>
      </c>
      <c r="AX119" s="30">
        <f t="shared" si="13"/>
        <v>0</v>
      </c>
      <c r="AY119" s="30">
        <f t="shared" si="13"/>
        <v>0</v>
      </c>
      <c r="AZ119" s="30">
        <f t="shared" si="13"/>
        <v>0</v>
      </c>
      <c r="BA119" s="30">
        <f t="shared" si="13"/>
        <v>0</v>
      </c>
      <c r="BB119" s="39">
        <f t="shared" si="12"/>
        <v>0</v>
      </c>
    </row>
    <row r="120" spans="1:54">
      <c r="A120" s="168">
        <v>5414</v>
      </c>
      <c r="B120" s="2">
        <v>136590</v>
      </c>
      <c r="C120" s="2" t="s">
        <v>321</v>
      </c>
      <c r="E120" s="164">
        <v>0</v>
      </c>
      <c r="F120" s="164"/>
      <c r="G120" s="164">
        <v>0</v>
      </c>
      <c r="H120" s="164">
        <v>0</v>
      </c>
      <c r="I120" s="164">
        <v>0</v>
      </c>
      <c r="J120" s="164">
        <v>0</v>
      </c>
      <c r="K120" s="171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47"/>
      <c r="AG120" s="163"/>
      <c r="AH120" s="163"/>
      <c r="AI120" s="163"/>
      <c r="AJ120" s="163"/>
      <c r="AK120" s="163"/>
      <c r="AL120" s="163"/>
      <c r="AM120" s="163"/>
      <c r="AN120" s="239"/>
      <c r="AO120" s="239"/>
      <c r="AP120" s="242"/>
      <c r="AQ120" s="242"/>
      <c r="AR120" s="242"/>
      <c r="AS120" s="166">
        <f t="shared" si="8"/>
        <v>0</v>
      </c>
      <c r="AU120" s="30">
        <f t="shared" si="13"/>
        <v>0</v>
      </c>
      <c r="AV120" s="30">
        <f t="shared" si="13"/>
        <v>0</v>
      </c>
      <c r="AW120" s="30">
        <f t="shared" si="13"/>
        <v>0</v>
      </c>
      <c r="AX120" s="30">
        <f t="shared" si="13"/>
        <v>0</v>
      </c>
      <c r="AY120" s="30">
        <f t="shared" si="13"/>
        <v>0</v>
      </c>
      <c r="AZ120" s="30">
        <f t="shared" si="13"/>
        <v>0</v>
      </c>
      <c r="BA120" s="30">
        <f t="shared" si="13"/>
        <v>0</v>
      </c>
      <c r="BB120" s="39">
        <f t="shared" si="12"/>
        <v>0</v>
      </c>
    </row>
    <row r="121" spans="1:54">
      <c r="A121" s="168">
        <v>2209</v>
      </c>
      <c r="B121" s="2">
        <v>149131</v>
      </c>
      <c r="C121" s="2" t="s">
        <v>322</v>
      </c>
      <c r="E121" s="164">
        <v>0</v>
      </c>
      <c r="F121" s="164"/>
      <c r="G121" s="164">
        <v>0</v>
      </c>
      <c r="H121" s="164">
        <v>0</v>
      </c>
      <c r="I121" s="164">
        <v>0</v>
      </c>
      <c r="J121" s="164">
        <v>0</v>
      </c>
      <c r="K121" s="171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47"/>
      <c r="AG121" s="163"/>
      <c r="AH121" s="163"/>
      <c r="AI121" s="163"/>
      <c r="AJ121" s="163"/>
      <c r="AK121" s="163"/>
      <c r="AL121" s="163"/>
      <c r="AM121" s="163"/>
      <c r="AN121" s="239"/>
      <c r="AO121" s="239"/>
      <c r="AP121" s="242"/>
      <c r="AQ121" s="242"/>
      <c r="AR121" s="242"/>
      <c r="AS121" s="166">
        <f t="shared" si="8"/>
        <v>0</v>
      </c>
      <c r="AU121" s="30">
        <f t="shared" si="13"/>
        <v>0</v>
      </c>
      <c r="AV121" s="30">
        <f t="shared" si="13"/>
        <v>0</v>
      </c>
      <c r="AW121" s="30">
        <f t="shared" si="13"/>
        <v>0</v>
      </c>
      <c r="AX121" s="30">
        <f t="shared" si="13"/>
        <v>0</v>
      </c>
      <c r="AY121" s="30">
        <f t="shared" si="13"/>
        <v>0</v>
      </c>
      <c r="AZ121" s="30">
        <f t="shared" si="13"/>
        <v>0</v>
      </c>
      <c r="BA121" s="30">
        <f t="shared" si="13"/>
        <v>0</v>
      </c>
      <c r="BB121" s="39">
        <f t="shared" si="12"/>
        <v>0</v>
      </c>
    </row>
    <row r="122" spans="1:54">
      <c r="A122" s="168">
        <v>2073</v>
      </c>
      <c r="B122" s="2">
        <v>138889</v>
      </c>
      <c r="C122" s="2" t="s">
        <v>323</v>
      </c>
      <c r="E122" s="164">
        <v>0</v>
      </c>
      <c r="F122" s="164"/>
      <c r="G122" s="164">
        <v>0</v>
      </c>
      <c r="H122" s="164">
        <v>0</v>
      </c>
      <c r="I122" s="164">
        <v>0</v>
      </c>
      <c r="J122" s="164">
        <v>0</v>
      </c>
      <c r="K122" s="171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47"/>
      <c r="AG122" s="163"/>
      <c r="AH122" s="163"/>
      <c r="AI122" s="163"/>
      <c r="AJ122" s="163"/>
      <c r="AK122" s="163"/>
      <c r="AL122" s="163"/>
      <c r="AM122" s="163"/>
      <c r="AN122" s="239"/>
      <c r="AO122" s="239"/>
      <c r="AP122" s="242"/>
      <c r="AQ122" s="242"/>
      <c r="AR122" s="242"/>
      <c r="AS122" s="166">
        <f t="shared" si="8"/>
        <v>0</v>
      </c>
      <c r="AU122" s="30">
        <f t="shared" si="13"/>
        <v>0</v>
      </c>
      <c r="AV122" s="30">
        <f t="shared" si="13"/>
        <v>0</v>
      </c>
      <c r="AW122" s="30">
        <f t="shared" si="13"/>
        <v>0</v>
      </c>
      <c r="AX122" s="30">
        <f t="shared" si="13"/>
        <v>0</v>
      </c>
      <c r="AY122" s="30">
        <f t="shared" si="13"/>
        <v>0</v>
      </c>
      <c r="AZ122" s="30">
        <f t="shared" si="13"/>
        <v>0</v>
      </c>
      <c r="BA122" s="30">
        <f t="shared" si="13"/>
        <v>0</v>
      </c>
      <c r="BB122" s="39">
        <f t="shared" si="12"/>
        <v>0</v>
      </c>
    </row>
    <row r="123" spans="1:54">
      <c r="A123" s="168">
        <v>2119</v>
      </c>
      <c r="B123" s="2">
        <v>150181</v>
      </c>
      <c r="C123" s="2" t="s">
        <v>324</v>
      </c>
      <c r="E123" s="164">
        <v>0</v>
      </c>
      <c r="F123" s="164"/>
      <c r="G123" s="164">
        <v>0</v>
      </c>
      <c r="H123" s="164">
        <v>0</v>
      </c>
      <c r="I123" s="164">
        <v>0</v>
      </c>
      <c r="J123" s="164">
        <v>0</v>
      </c>
      <c r="K123" s="171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47"/>
      <c r="AG123" s="163"/>
      <c r="AH123" s="163"/>
      <c r="AI123" s="163"/>
      <c r="AJ123" s="163"/>
      <c r="AK123" s="163"/>
      <c r="AL123" s="163"/>
      <c r="AM123" s="163"/>
      <c r="AN123" s="239"/>
      <c r="AO123" s="239"/>
      <c r="AP123" s="242"/>
      <c r="AQ123" s="242"/>
      <c r="AR123" s="242"/>
      <c r="AS123" s="166">
        <f t="shared" si="8"/>
        <v>0</v>
      </c>
      <c r="AU123" s="30">
        <f t="shared" si="13"/>
        <v>0</v>
      </c>
      <c r="AV123" s="30">
        <f t="shared" si="13"/>
        <v>0</v>
      </c>
      <c r="AW123" s="30">
        <f t="shared" si="13"/>
        <v>0</v>
      </c>
      <c r="AX123" s="30">
        <f t="shared" si="13"/>
        <v>0</v>
      </c>
      <c r="AY123" s="30">
        <f t="shared" si="13"/>
        <v>0</v>
      </c>
      <c r="AZ123" s="30">
        <f t="shared" si="13"/>
        <v>0</v>
      </c>
      <c r="BA123" s="30">
        <f t="shared" si="13"/>
        <v>0</v>
      </c>
      <c r="BB123" s="39">
        <f t="shared" si="12"/>
        <v>0</v>
      </c>
    </row>
    <row r="124" spans="1:54">
      <c r="A124" s="168">
        <v>2096</v>
      </c>
      <c r="B124" s="2">
        <v>139003</v>
      </c>
      <c r="C124" s="2" t="s">
        <v>325</v>
      </c>
      <c r="E124" s="164">
        <v>0</v>
      </c>
      <c r="F124" s="164"/>
      <c r="G124" s="164">
        <v>0</v>
      </c>
      <c r="H124" s="164">
        <v>0</v>
      </c>
      <c r="I124" s="164">
        <v>0</v>
      </c>
      <c r="J124" s="164">
        <v>0</v>
      </c>
      <c r="K124" s="171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47"/>
      <c r="AG124" s="163"/>
      <c r="AH124" s="163"/>
      <c r="AI124" s="163"/>
      <c r="AJ124" s="163"/>
      <c r="AK124" s="163"/>
      <c r="AL124" s="163"/>
      <c r="AM124" s="163"/>
      <c r="AN124" s="239"/>
      <c r="AO124" s="239"/>
      <c r="AP124" s="242"/>
      <c r="AQ124" s="242"/>
      <c r="AR124" s="242"/>
      <c r="AS124" s="166">
        <f t="shared" si="8"/>
        <v>0</v>
      </c>
      <c r="AU124" s="30">
        <f t="shared" si="13"/>
        <v>0</v>
      </c>
      <c r="AV124" s="30">
        <f t="shared" si="13"/>
        <v>0</v>
      </c>
      <c r="AW124" s="30">
        <f t="shared" si="13"/>
        <v>0</v>
      </c>
      <c r="AX124" s="30">
        <f t="shared" si="13"/>
        <v>0</v>
      </c>
      <c r="AY124" s="30">
        <f t="shared" si="13"/>
        <v>0</v>
      </c>
      <c r="AZ124" s="30">
        <f t="shared" si="13"/>
        <v>0</v>
      </c>
      <c r="BA124" s="30">
        <f t="shared" si="13"/>
        <v>0</v>
      </c>
      <c r="BB124" s="39">
        <f t="shared" si="12"/>
        <v>0</v>
      </c>
    </row>
    <row r="125" spans="1:54">
      <c r="A125" s="168">
        <v>7005</v>
      </c>
      <c r="B125" s="2">
        <v>148722</v>
      </c>
      <c r="C125" s="2" t="s">
        <v>326</v>
      </c>
      <c r="E125" s="164">
        <v>206485.38988332081</v>
      </c>
      <c r="F125" s="164"/>
      <c r="G125" s="164">
        <v>49862.104964829719</v>
      </c>
      <c r="H125" s="164">
        <v>34079.14</v>
      </c>
      <c r="I125" s="164">
        <v>1305.82</v>
      </c>
      <c r="J125" s="164">
        <v>1742.07</v>
      </c>
      <c r="K125" s="171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47"/>
      <c r="AG125" s="163"/>
      <c r="AH125" s="163"/>
      <c r="AI125" s="163"/>
      <c r="AJ125" s="163"/>
      <c r="AK125" s="163"/>
      <c r="AL125" s="163"/>
      <c r="AM125" s="163"/>
      <c r="AN125" s="239"/>
      <c r="AO125" s="239"/>
      <c r="AP125" s="242"/>
      <c r="AQ125" s="242"/>
      <c r="AR125" s="242"/>
      <c r="AS125" s="166">
        <f t="shared" si="8"/>
        <v>293474.52484815056</v>
      </c>
      <c r="AU125" s="30">
        <f t="shared" si="13"/>
        <v>3047.89</v>
      </c>
      <c r="AV125" s="30">
        <f t="shared" si="13"/>
        <v>0</v>
      </c>
      <c r="AW125" s="30">
        <f t="shared" si="13"/>
        <v>290426.63484815054</v>
      </c>
      <c r="AX125" s="30">
        <f t="shared" si="13"/>
        <v>0</v>
      </c>
      <c r="AY125" s="30">
        <f t="shared" si="13"/>
        <v>0</v>
      </c>
      <c r="AZ125" s="30">
        <f t="shared" si="13"/>
        <v>0</v>
      </c>
      <c r="BA125" s="30">
        <f t="shared" si="13"/>
        <v>0</v>
      </c>
      <c r="BB125" s="39">
        <f t="shared" si="12"/>
        <v>0</v>
      </c>
    </row>
    <row r="126" spans="1:54">
      <c r="A126" s="168">
        <v>2453</v>
      </c>
      <c r="B126" s="2">
        <v>140502</v>
      </c>
      <c r="C126" s="2" t="s">
        <v>327</v>
      </c>
      <c r="E126" s="164">
        <v>0</v>
      </c>
      <c r="F126" s="164"/>
      <c r="G126" s="164">
        <v>0</v>
      </c>
      <c r="H126" s="164">
        <v>0</v>
      </c>
      <c r="I126" s="164">
        <v>0</v>
      </c>
      <c r="J126" s="164">
        <v>0</v>
      </c>
      <c r="K126" s="171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47"/>
      <c r="AG126" s="163"/>
      <c r="AH126" s="163"/>
      <c r="AI126" s="163"/>
      <c r="AJ126" s="163"/>
      <c r="AK126" s="163"/>
      <c r="AL126" s="163"/>
      <c r="AM126" s="163"/>
      <c r="AN126" s="239"/>
      <c r="AO126" s="239"/>
      <c r="AP126" s="242"/>
      <c r="AQ126" s="242"/>
      <c r="AR126" s="242"/>
      <c r="AS126" s="166">
        <f t="shared" si="8"/>
        <v>0</v>
      </c>
      <c r="AU126" s="30">
        <f t="shared" si="13"/>
        <v>0</v>
      </c>
      <c r="AV126" s="30">
        <f t="shared" si="13"/>
        <v>0</v>
      </c>
      <c r="AW126" s="30">
        <f t="shared" si="13"/>
        <v>0</v>
      </c>
      <c r="AX126" s="30">
        <f t="shared" si="13"/>
        <v>0</v>
      </c>
      <c r="AY126" s="30">
        <f t="shared" si="13"/>
        <v>0</v>
      </c>
      <c r="AZ126" s="30">
        <f t="shared" si="13"/>
        <v>0</v>
      </c>
      <c r="BA126" s="30">
        <f t="shared" si="13"/>
        <v>0</v>
      </c>
      <c r="BB126" s="39">
        <f t="shared" si="12"/>
        <v>0</v>
      </c>
    </row>
    <row r="127" spans="1:54">
      <c r="A127" s="168">
        <v>2207</v>
      </c>
      <c r="B127" s="2">
        <v>148653</v>
      </c>
      <c r="C127" s="2" t="s">
        <v>328</v>
      </c>
      <c r="E127" s="164">
        <v>351025.16280164541</v>
      </c>
      <c r="F127" s="164"/>
      <c r="G127" s="164">
        <v>84765.57844021052</v>
      </c>
      <c r="H127" s="164">
        <v>57934.53</v>
      </c>
      <c r="I127" s="164">
        <v>2219.9</v>
      </c>
      <c r="J127" s="164">
        <v>2961.52</v>
      </c>
      <c r="K127" s="171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47"/>
      <c r="AG127" s="163"/>
      <c r="AH127" s="163"/>
      <c r="AI127" s="163"/>
      <c r="AJ127" s="163"/>
      <c r="AK127" s="163"/>
      <c r="AL127" s="163"/>
      <c r="AM127" s="163"/>
      <c r="AN127" s="239"/>
      <c r="AO127" s="239"/>
      <c r="AP127" s="242"/>
      <c r="AQ127" s="242"/>
      <c r="AR127" s="242"/>
      <c r="AS127" s="166">
        <f t="shared" si="8"/>
        <v>498906.69124185597</v>
      </c>
      <c r="AU127" s="30">
        <f t="shared" si="13"/>
        <v>5181.42</v>
      </c>
      <c r="AV127" s="30">
        <f t="shared" si="13"/>
        <v>0</v>
      </c>
      <c r="AW127" s="30">
        <f t="shared" si="13"/>
        <v>493725.27124185592</v>
      </c>
      <c r="AX127" s="30">
        <f t="shared" si="13"/>
        <v>0</v>
      </c>
      <c r="AY127" s="30">
        <f t="shared" si="13"/>
        <v>0</v>
      </c>
      <c r="AZ127" s="30">
        <f t="shared" si="13"/>
        <v>0</v>
      </c>
      <c r="BA127" s="30">
        <f t="shared" si="13"/>
        <v>0</v>
      </c>
      <c r="BB127" s="39">
        <f t="shared" si="12"/>
        <v>0</v>
      </c>
    </row>
    <row r="128" spans="1:54">
      <c r="A128" s="168">
        <v>4029</v>
      </c>
      <c r="B128" s="2">
        <v>145120</v>
      </c>
      <c r="C128" s="2" t="s">
        <v>329</v>
      </c>
      <c r="E128" s="164">
        <v>0</v>
      </c>
      <c r="F128" s="164"/>
      <c r="G128" s="164">
        <v>0</v>
      </c>
      <c r="H128" s="164">
        <v>0</v>
      </c>
      <c r="I128" s="164">
        <v>0</v>
      </c>
      <c r="J128" s="164">
        <v>0</v>
      </c>
      <c r="K128" s="171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47"/>
      <c r="AG128" s="163"/>
      <c r="AH128" s="163"/>
      <c r="AI128" s="163"/>
      <c r="AJ128" s="163"/>
      <c r="AK128" s="163"/>
      <c r="AL128" s="163"/>
      <c r="AM128" s="163"/>
      <c r="AN128" s="239"/>
      <c r="AO128" s="239"/>
      <c r="AP128" s="242"/>
      <c r="AQ128" s="242"/>
      <c r="AR128" s="242"/>
      <c r="AS128" s="166">
        <f t="shared" si="8"/>
        <v>0</v>
      </c>
      <c r="AU128" s="30">
        <f t="shared" si="13"/>
        <v>0</v>
      </c>
      <c r="AV128" s="30">
        <f t="shared" si="13"/>
        <v>0</v>
      </c>
      <c r="AW128" s="30">
        <f t="shared" si="13"/>
        <v>0</v>
      </c>
      <c r="AX128" s="30">
        <f t="shared" si="13"/>
        <v>0</v>
      </c>
      <c r="AY128" s="30">
        <f t="shared" si="13"/>
        <v>0</v>
      </c>
      <c r="AZ128" s="30">
        <f t="shared" si="13"/>
        <v>0</v>
      </c>
      <c r="BA128" s="30">
        <f t="shared" si="13"/>
        <v>0</v>
      </c>
      <c r="BB128" s="39">
        <f t="shared" si="12"/>
        <v>0</v>
      </c>
    </row>
    <row r="129" spans="1:54">
      <c r="A129" s="168">
        <v>2162</v>
      </c>
      <c r="B129" s="2">
        <v>141977</v>
      </c>
      <c r="C129" s="2" t="s">
        <v>330</v>
      </c>
      <c r="E129" s="164">
        <v>0</v>
      </c>
      <c r="F129" s="164"/>
      <c r="G129" s="164">
        <v>0</v>
      </c>
      <c r="H129" s="164">
        <v>0</v>
      </c>
      <c r="I129" s="164">
        <v>0</v>
      </c>
      <c r="J129" s="164">
        <v>0</v>
      </c>
      <c r="K129" s="171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47"/>
      <c r="AG129" s="163"/>
      <c r="AH129" s="163"/>
      <c r="AI129" s="163"/>
      <c r="AJ129" s="163"/>
      <c r="AK129" s="163"/>
      <c r="AL129" s="163"/>
      <c r="AM129" s="163"/>
      <c r="AN129" s="239"/>
      <c r="AO129" s="239"/>
      <c r="AP129" s="242"/>
      <c r="AQ129" s="242"/>
      <c r="AR129" s="242"/>
      <c r="AS129" s="166">
        <f t="shared" si="8"/>
        <v>0</v>
      </c>
      <c r="AU129" s="30">
        <f t="shared" si="13"/>
        <v>0</v>
      </c>
      <c r="AV129" s="30">
        <f t="shared" si="13"/>
        <v>0</v>
      </c>
      <c r="AW129" s="30">
        <f t="shared" si="13"/>
        <v>0</v>
      </c>
      <c r="AX129" s="30">
        <f t="shared" si="13"/>
        <v>0</v>
      </c>
      <c r="AY129" s="30">
        <f t="shared" si="13"/>
        <v>0</v>
      </c>
      <c r="AZ129" s="30">
        <f t="shared" si="13"/>
        <v>0</v>
      </c>
      <c r="BA129" s="30">
        <f t="shared" si="13"/>
        <v>0</v>
      </c>
      <c r="BB129" s="39">
        <f t="shared" si="12"/>
        <v>0</v>
      </c>
    </row>
    <row r="130" spans="1:54">
      <c r="A130" s="168">
        <v>2075</v>
      </c>
      <c r="B130" s="2">
        <v>138998</v>
      </c>
      <c r="C130" s="2" t="s">
        <v>331</v>
      </c>
      <c r="E130" s="164">
        <v>0</v>
      </c>
      <c r="F130" s="164"/>
      <c r="G130" s="164">
        <v>0</v>
      </c>
      <c r="H130" s="164">
        <v>0</v>
      </c>
      <c r="I130" s="164">
        <v>0</v>
      </c>
      <c r="J130" s="164">
        <v>0</v>
      </c>
      <c r="K130" s="171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47"/>
      <c r="AG130" s="163"/>
      <c r="AH130" s="163"/>
      <c r="AI130" s="163"/>
      <c r="AJ130" s="163"/>
      <c r="AK130" s="163"/>
      <c r="AL130" s="163"/>
      <c r="AM130" s="163"/>
      <c r="AN130" s="239"/>
      <c r="AO130" s="239"/>
      <c r="AP130" s="242"/>
      <c r="AQ130" s="242"/>
      <c r="AR130" s="242"/>
      <c r="AS130" s="166">
        <f t="shared" si="8"/>
        <v>0</v>
      </c>
      <c r="AU130" s="30">
        <f t="shared" si="13"/>
        <v>0</v>
      </c>
      <c r="AV130" s="30">
        <f t="shared" si="13"/>
        <v>0</v>
      </c>
      <c r="AW130" s="30">
        <f t="shared" si="13"/>
        <v>0</v>
      </c>
      <c r="AX130" s="30">
        <f t="shared" si="13"/>
        <v>0</v>
      </c>
      <c r="AY130" s="30">
        <f t="shared" si="13"/>
        <v>0</v>
      </c>
      <c r="AZ130" s="30">
        <f t="shared" si="13"/>
        <v>0</v>
      </c>
      <c r="BA130" s="30">
        <f t="shared" si="13"/>
        <v>0</v>
      </c>
      <c r="BB130" s="39">
        <f t="shared" si="12"/>
        <v>0</v>
      </c>
    </row>
    <row r="131" spans="1:54">
      <c r="A131" s="168">
        <v>2132</v>
      </c>
      <c r="B131" s="2">
        <v>146701</v>
      </c>
      <c r="C131" s="2" t="s">
        <v>332</v>
      </c>
      <c r="E131" s="164">
        <v>0</v>
      </c>
      <c r="F131" s="164"/>
      <c r="G131" s="164">
        <v>0</v>
      </c>
      <c r="H131" s="164">
        <v>0</v>
      </c>
      <c r="I131" s="164">
        <v>0</v>
      </c>
      <c r="J131" s="164">
        <v>0</v>
      </c>
      <c r="K131" s="171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47"/>
      <c r="AG131" s="163"/>
      <c r="AH131" s="163"/>
      <c r="AI131" s="163"/>
      <c r="AJ131" s="163"/>
      <c r="AK131" s="163"/>
      <c r="AL131" s="163"/>
      <c r="AM131" s="163"/>
      <c r="AN131" s="239"/>
      <c r="AO131" s="239"/>
      <c r="AP131" s="242"/>
      <c r="AQ131" s="242"/>
      <c r="AR131" s="242"/>
      <c r="AS131" s="166">
        <f t="shared" si="8"/>
        <v>0</v>
      </c>
      <c r="AU131" s="30">
        <f t="shared" si="13"/>
        <v>0</v>
      </c>
      <c r="AV131" s="30">
        <f t="shared" si="13"/>
        <v>0</v>
      </c>
      <c r="AW131" s="30">
        <f t="shared" si="13"/>
        <v>0</v>
      </c>
      <c r="AX131" s="30">
        <f t="shared" si="13"/>
        <v>0</v>
      </c>
      <c r="AY131" s="30">
        <f t="shared" si="13"/>
        <v>0</v>
      </c>
      <c r="AZ131" s="30">
        <f t="shared" si="13"/>
        <v>0</v>
      </c>
      <c r="BA131" s="30">
        <f t="shared" si="13"/>
        <v>0</v>
      </c>
      <c r="BB131" s="39">
        <f t="shared" si="12"/>
        <v>0</v>
      </c>
    </row>
    <row r="132" spans="1:54">
      <c r="A132" s="168">
        <v>3322</v>
      </c>
      <c r="B132" s="2">
        <v>151625</v>
      </c>
      <c r="C132" s="2" t="s">
        <v>12</v>
      </c>
      <c r="E132" s="164">
        <v>0</v>
      </c>
      <c r="F132" s="164"/>
      <c r="G132" s="164">
        <v>0</v>
      </c>
      <c r="H132" s="164">
        <v>0</v>
      </c>
      <c r="I132" s="164">
        <v>0</v>
      </c>
      <c r="J132" s="164">
        <v>0</v>
      </c>
      <c r="K132" s="171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47"/>
      <c r="AG132" s="163"/>
      <c r="AH132" s="163"/>
      <c r="AI132" s="163"/>
      <c r="AJ132" s="163"/>
      <c r="AK132" s="163"/>
      <c r="AL132" s="163"/>
      <c r="AM132" s="163"/>
      <c r="AN132" s="239"/>
      <c r="AO132" s="239"/>
      <c r="AP132" s="242"/>
      <c r="AQ132" s="242"/>
      <c r="AR132" s="242"/>
      <c r="AS132" s="166">
        <f t="shared" si="8"/>
        <v>0</v>
      </c>
      <c r="AU132" s="30">
        <f t="shared" si="13"/>
        <v>0</v>
      </c>
      <c r="AV132" s="30">
        <f t="shared" si="13"/>
        <v>0</v>
      </c>
      <c r="AW132" s="30">
        <f t="shared" si="13"/>
        <v>0</v>
      </c>
      <c r="AX132" s="30">
        <f t="shared" si="13"/>
        <v>0</v>
      </c>
      <c r="AY132" s="30">
        <f t="shared" si="13"/>
        <v>0</v>
      </c>
      <c r="AZ132" s="30">
        <f t="shared" si="13"/>
        <v>0</v>
      </c>
      <c r="BA132" s="30">
        <f t="shared" si="13"/>
        <v>0</v>
      </c>
      <c r="BB132" s="39">
        <f t="shared" si="12"/>
        <v>0</v>
      </c>
    </row>
    <row r="133" spans="1:54">
      <c r="A133" s="168">
        <v>7004</v>
      </c>
      <c r="B133" s="2">
        <v>148225</v>
      </c>
      <c r="C133" s="2" t="s">
        <v>333</v>
      </c>
      <c r="E133" s="164">
        <v>640104.7086382946</v>
      </c>
      <c r="F133" s="164"/>
      <c r="G133" s="164">
        <v>154572.52539097215</v>
      </c>
      <c r="H133" s="164">
        <v>105645.32</v>
      </c>
      <c r="I133" s="164">
        <v>4048.06</v>
      </c>
      <c r="J133" s="164">
        <v>5400.42</v>
      </c>
      <c r="K133" s="171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47"/>
      <c r="AG133" s="163"/>
      <c r="AH133" s="163"/>
      <c r="AI133" s="163"/>
      <c r="AJ133" s="163"/>
      <c r="AK133" s="163"/>
      <c r="AL133" s="163"/>
      <c r="AM133" s="163"/>
      <c r="AN133" s="239"/>
      <c r="AO133" s="239"/>
      <c r="AP133" s="242"/>
      <c r="AQ133" s="242"/>
      <c r="AR133" s="242"/>
      <c r="AS133" s="166">
        <f t="shared" si="8"/>
        <v>909771.03402926691</v>
      </c>
      <c r="AU133" s="30">
        <f t="shared" si="13"/>
        <v>9448.48</v>
      </c>
      <c r="AV133" s="30">
        <f t="shared" si="13"/>
        <v>0</v>
      </c>
      <c r="AW133" s="30">
        <f t="shared" si="13"/>
        <v>900322.55402926682</v>
      </c>
      <c r="AX133" s="30">
        <f t="shared" si="13"/>
        <v>0</v>
      </c>
      <c r="AY133" s="30">
        <f t="shared" si="13"/>
        <v>0</v>
      </c>
      <c r="AZ133" s="30">
        <f t="shared" si="13"/>
        <v>0</v>
      </c>
      <c r="BA133" s="30">
        <f t="shared" si="13"/>
        <v>0</v>
      </c>
      <c r="BB133" s="39">
        <f t="shared" si="12"/>
        <v>0</v>
      </c>
    </row>
    <row r="134" spans="1:54">
      <c r="A134" s="168">
        <v>2463</v>
      </c>
      <c r="B134" s="2">
        <v>139452</v>
      </c>
      <c r="C134" s="2" t="s">
        <v>334</v>
      </c>
      <c r="E134" s="164">
        <v>0</v>
      </c>
      <c r="F134" s="164"/>
      <c r="G134" s="164">
        <v>0</v>
      </c>
      <c r="H134" s="164">
        <v>0</v>
      </c>
      <c r="I134" s="164">
        <v>0</v>
      </c>
      <c r="J134" s="164">
        <v>0</v>
      </c>
      <c r="K134" s="171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47"/>
      <c r="AG134" s="163"/>
      <c r="AH134" s="163"/>
      <c r="AI134" s="163"/>
      <c r="AJ134" s="163"/>
      <c r="AK134" s="163"/>
      <c r="AL134" s="163"/>
      <c r="AM134" s="163"/>
      <c r="AN134" s="239"/>
      <c r="AO134" s="239"/>
      <c r="AP134" s="242"/>
      <c r="AQ134" s="242"/>
      <c r="AR134" s="242"/>
      <c r="AS134" s="166">
        <f t="shared" ref="AS134:AS198" si="14">SUM(E134:AR134)</f>
        <v>0</v>
      </c>
      <c r="AU134" s="30">
        <f t="shared" si="13"/>
        <v>0</v>
      </c>
      <c r="AV134" s="30">
        <f t="shared" si="13"/>
        <v>0</v>
      </c>
      <c r="AW134" s="30">
        <f t="shared" si="13"/>
        <v>0</v>
      </c>
      <c r="AX134" s="30">
        <f t="shared" si="13"/>
        <v>0</v>
      </c>
      <c r="AY134" s="30">
        <f t="shared" si="13"/>
        <v>0</v>
      </c>
      <c r="AZ134" s="30">
        <f t="shared" si="13"/>
        <v>0</v>
      </c>
      <c r="BA134" s="30">
        <f t="shared" si="13"/>
        <v>0</v>
      </c>
      <c r="BB134" s="39">
        <f t="shared" si="12"/>
        <v>0</v>
      </c>
    </row>
    <row r="135" spans="1:54">
      <c r="A135" s="168">
        <v>2100</v>
      </c>
      <c r="B135" s="2">
        <v>139014</v>
      </c>
      <c r="C135" s="2" t="s">
        <v>335</v>
      </c>
      <c r="E135" s="164">
        <v>0</v>
      </c>
      <c r="F135" s="164"/>
      <c r="G135" s="164">
        <v>0</v>
      </c>
      <c r="H135" s="164">
        <v>0</v>
      </c>
      <c r="I135" s="164">
        <v>0</v>
      </c>
      <c r="J135" s="164">
        <v>0</v>
      </c>
      <c r="K135" s="171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47"/>
      <c r="AG135" s="163"/>
      <c r="AH135" s="163"/>
      <c r="AI135" s="163"/>
      <c r="AJ135" s="163"/>
      <c r="AK135" s="163"/>
      <c r="AL135" s="163"/>
      <c r="AM135" s="163"/>
      <c r="AN135" s="239"/>
      <c r="AO135" s="239"/>
      <c r="AP135" s="242"/>
      <c r="AQ135" s="242"/>
      <c r="AR135" s="242"/>
      <c r="AS135" s="166">
        <f t="shared" si="14"/>
        <v>0</v>
      </c>
      <c r="AU135" s="30">
        <f t="shared" si="13"/>
        <v>0</v>
      </c>
      <c r="AV135" s="30">
        <f t="shared" si="13"/>
        <v>0</v>
      </c>
      <c r="AW135" s="30">
        <f t="shared" si="13"/>
        <v>0</v>
      </c>
      <c r="AX135" s="30">
        <f t="shared" si="13"/>
        <v>0</v>
      </c>
      <c r="AY135" s="30">
        <f t="shared" si="13"/>
        <v>0</v>
      </c>
      <c r="AZ135" s="30">
        <f t="shared" si="13"/>
        <v>0</v>
      </c>
      <c r="BA135" s="30">
        <f t="shared" si="13"/>
        <v>0</v>
      </c>
      <c r="BB135" s="39">
        <f t="shared" ref="BB135:BB167" si="15">SUM(AU135:BA135)-AS135</f>
        <v>0</v>
      </c>
    </row>
    <row r="136" spans="1:54">
      <c r="A136" s="168">
        <v>2070</v>
      </c>
      <c r="B136" s="2">
        <v>138864</v>
      </c>
      <c r="C136" s="2" t="s">
        <v>336</v>
      </c>
      <c r="E136" s="164">
        <v>0</v>
      </c>
      <c r="F136" s="164"/>
      <c r="G136" s="164">
        <v>0</v>
      </c>
      <c r="H136" s="164">
        <v>0</v>
      </c>
      <c r="I136" s="164">
        <v>0</v>
      </c>
      <c r="J136" s="164">
        <v>0</v>
      </c>
      <c r="K136" s="171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47"/>
      <c r="AG136" s="163"/>
      <c r="AH136" s="163"/>
      <c r="AI136" s="163"/>
      <c r="AJ136" s="163"/>
      <c r="AK136" s="163"/>
      <c r="AL136" s="163"/>
      <c r="AM136" s="163"/>
      <c r="AN136" s="239"/>
      <c r="AO136" s="239"/>
      <c r="AP136" s="242"/>
      <c r="AQ136" s="242"/>
      <c r="AR136" s="242"/>
      <c r="AS136" s="166">
        <f t="shared" si="14"/>
        <v>0</v>
      </c>
      <c r="AU136" s="30">
        <f t="shared" si="13"/>
        <v>0</v>
      </c>
      <c r="AV136" s="30">
        <f t="shared" si="13"/>
        <v>0</v>
      </c>
      <c r="AW136" s="30">
        <f t="shared" si="13"/>
        <v>0</v>
      </c>
      <c r="AX136" s="30">
        <f t="shared" si="13"/>
        <v>0</v>
      </c>
      <c r="AY136" s="30">
        <f t="shared" si="13"/>
        <v>0</v>
      </c>
      <c r="AZ136" s="30">
        <f t="shared" si="13"/>
        <v>0</v>
      </c>
      <c r="BA136" s="30">
        <f t="shared" si="13"/>
        <v>0</v>
      </c>
      <c r="BB136" s="39">
        <f t="shared" si="15"/>
        <v>0</v>
      </c>
    </row>
    <row r="137" spans="1:54">
      <c r="A137" s="168">
        <v>2078</v>
      </c>
      <c r="B137" s="2">
        <v>139000</v>
      </c>
      <c r="C137" s="2" t="s">
        <v>337</v>
      </c>
      <c r="E137" s="164">
        <v>0</v>
      </c>
      <c r="F137" s="164"/>
      <c r="G137" s="164">
        <v>0</v>
      </c>
      <c r="H137" s="164">
        <v>0</v>
      </c>
      <c r="I137" s="164">
        <v>0</v>
      </c>
      <c r="J137" s="164">
        <v>0</v>
      </c>
      <c r="K137" s="171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47"/>
      <c r="AG137" s="163"/>
      <c r="AH137" s="163"/>
      <c r="AI137" s="163"/>
      <c r="AJ137" s="163"/>
      <c r="AK137" s="163"/>
      <c r="AL137" s="163"/>
      <c r="AM137" s="163"/>
      <c r="AN137" s="239"/>
      <c r="AO137" s="239"/>
      <c r="AP137" s="242"/>
      <c r="AQ137" s="242"/>
      <c r="AR137" s="242"/>
      <c r="AS137" s="166">
        <f t="shared" si="14"/>
        <v>0</v>
      </c>
      <c r="AU137" s="30">
        <f t="shared" ref="AU137:BA163" si="16">SUMIF($E$3:$AR$3,AU$6,$E137:$AR137)</f>
        <v>0</v>
      </c>
      <c r="AV137" s="30">
        <f t="shared" si="16"/>
        <v>0</v>
      </c>
      <c r="AW137" s="30">
        <f t="shared" si="16"/>
        <v>0</v>
      </c>
      <c r="AX137" s="30">
        <f t="shared" si="16"/>
        <v>0</v>
      </c>
      <c r="AY137" s="30">
        <f t="shared" si="16"/>
        <v>0</v>
      </c>
      <c r="AZ137" s="30">
        <f t="shared" si="16"/>
        <v>0</v>
      </c>
      <c r="BA137" s="30">
        <f t="shared" si="16"/>
        <v>0</v>
      </c>
      <c r="BB137" s="39">
        <f t="shared" si="15"/>
        <v>0</v>
      </c>
    </row>
    <row r="138" spans="1:54">
      <c r="A138" s="168">
        <v>2038</v>
      </c>
      <c r="B138" s="2">
        <v>138799</v>
      </c>
      <c r="C138" s="2" t="s">
        <v>338</v>
      </c>
      <c r="E138" s="164">
        <v>0</v>
      </c>
      <c r="F138" s="164"/>
      <c r="G138" s="164">
        <v>0</v>
      </c>
      <c r="H138" s="164">
        <v>0</v>
      </c>
      <c r="I138" s="164">
        <v>0</v>
      </c>
      <c r="J138" s="164">
        <v>0</v>
      </c>
      <c r="K138" s="171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47"/>
      <c r="AG138" s="163"/>
      <c r="AH138" s="163"/>
      <c r="AI138" s="163"/>
      <c r="AJ138" s="163"/>
      <c r="AK138" s="163"/>
      <c r="AL138" s="163"/>
      <c r="AM138" s="163"/>
      <c r="AN138" s="239"/>
      <c r="AO138" s="239"/>
      <c r="AP138" s="242"/>
      <c r="AQ138" s="242"/>
      <c r="AR138" s="242"/>
      <c r="AS138" s="166">
        <f t="shared" si="14"/>
        <v>0</v>
      </c>
      <c r="AU138" s="30">
        <f t="shared" si="16"/>
        <v>0</v>
      </c>
      <c r="AV138" s="30">
        <f t="shared" si="16"/>
        <v>0</v>
      </c>
      <c r="AW138" s="30">
        <f t="shared" si="16"/>
        <v>0</v>
      </c>
      <c r="AX138" s="30">
        <f t="shared" si="16"/>
        <v>0</v>
      </c>
      <c r="AY138" s="30">
        <f t="shared" si="16"/>
        <v>0</v>
      </c>
      <c r="AZ138" s="30">
        <f t="shared" si="16"/>
        <v>0</v>
      </c>
      <c r="BA138" s="30">
        <f t="shared" si="16"/>
        <v>0</v>
      </c>
      <c r="BB138" s="39">
        <f t="shared" si="15"/>
        <v>0</v>
      </c>
    </row>
    <row r="139" spans="1:54">
      <c r="A139" s="168">
        <v>5411</v>
      </c>
      <c r="B139" s="2">
        <v>136406</v>
      </c>
      <c r="C139" s="2" t="s">
        <v>339</v>
      </c>
      <c r="E139" s="164">
        <v>0</v>
      </c>
      <c r="F139" s="164"/>
      <c r="G139" s="164">
        <v>0</v>
      </c>
      <c r="H139" s="164">
        <v>0</v>
      </c>
      <c r="I139" s="164">
        <v>0</v>
      </c>
      <c r="J139" s="164">
        <v>0</v>
      </c>
      <c r="K139" s="171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47"/>
      <c r="AG139" s="163"/>
      <c r="AH139" s="163"/>
      <c r="AI139" s="163"/>
      <c r="AJ139" s="163"/>
      <c r="AK139" s="163"/>
      <c r="AL139" s="163"/>
      <c r="AM139" s="163"/>
      <c r="AN139" s="239"/>
      <c r="AO139" s="239"/>
      <c r="AP139" s="242"/>
      <c r="AQ139" s="242"/>
      <c r="AR139" s="242"/>
      <c r="AS139" s="166">
        <f t="shared" si="14"/>
        <v>0</v>
      </c>
      <c r="AU139" s="30">
        <f t="shared" si="16"/>
        <v>0</v>
      </c>
      <c r="AV139" s="30">
        <f t="shared" si="16"/>
        <v>0</v>
      </c>
      <c r="AW139" s="30">
        <f t="shared" si="16"/>
        <v>0</v>
      </c>
      <c r="AX139" s="30">
        <f t="shared" si="16"/>
        <v>0</v>
      </c>
      <c r="AY139" s="30">
        <f t="shared" si="16"/>
        <v>0</v>
      </c>
      <c r="AZ139" s="30">
        <f t="shared" si="16"/>
        <v>0</v>
      </c>
      <c r="BA139" s="30">
        <f t="shared" si="16"/>
        <v>0</v>
      </c>
      <c r="BB139" s="39">
        <f t="shared" si="15"/>
        <v>0</v>
      </c>
    </row>
    <row r="140" spans="1:54">
      <c r="A140" s="168">
        <v>4004</v>
      </c>
      <c r="B140" s="2">
        <v>138586</v>
      </c>
      <c r="C140" s="2" t="s">
        <v>340</v>
      </c>
      <c r="E140" s="164">
        <v>0</v>
      </c>
      <c r="F140" s="164"/>
      <c r="G140" s="164">
        <v>0</v>
      </c>
      <c r="H140" s="164">
        <v>0</v>
      </c>
      <c r="I140" s="164">
        <v>0</v>
      </c>
      <c r="J140" s="164">
        <v>0</v>
      </c>
      <c r="K140" s="171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47"/>
      <c r="AG140" s="163"/>
      <c r="AH140" s="163"/>
      <c r="AI140" s="163"/>
      <c r="AJ140" s="163"/>
      <c r="AK140" s="163"/>
      <c r="AL140" s="163"/>
      <c r="AM140" s="163"/>
      <c r="AN140" s="239"/>
      <c r="AO140" s="239"/>
      <c r="AP140" s="242"/>
      <c r="AQ140" s="242"/>
      <c r="AR140" s="242"/>
      <c r="AS140" s="166">
        <f t="shared" si="14"/>
        <v>0</v>
      </c>
      <c r="AU140" s="30">
        <f t="shared" si="16"/>
        <v>0</v>
      </c>
      <c r="AV140" s="30">
        <f t="shared" si="16"/>
        <v>0</v>
      </c>
      <c r="AW140" s="30">
        <f t="shared" si="16"/>
        <v>0</v>
      </c>
      <c r="AX140" s="30">
        <f t="shared" si="16"/>
        <v>0</v>
      </c>
      <c r="AY140" s="30">
        <f t="shared" si="16"/>
        <v>0</v>
      </c>
      <c r="AZ140" s="30">
        <f t="shared" si="16"/>
        <v>0</v>
      </c>
      <c r="BA140" s="30">
        <f t="shared" si="16"/>
        <v>0</v>
      </c>
      <c r="BB140" s="39">
        <f t="shared" si="15"/>
        <v>0</v>
      </c>
    </row>
    <row r="141" spans="1:54">
      <c r="A141" s="168">
        <v>2032</v>
      </c>
      <c r="B141" s="2">
        <v>137492</v>
      </c>
      <c r="C141" s="2" t="s">
        <v>341</v>
      </c>
      <c r="E141" s="164">
        <v>0</v>
      </c>
      <c r="F141" s="164"/>
      <c r="G141" s="164">
        <v>0</v>
      </c>
      <c r="H141" s="164">
        <v>0</v>
      </c>
      <c r="I141" s="164">
        <v>0</v>
      </c>
      <c r="J141" s="164">
        <v>0</v>
      </c>
      <c r="K141" s="171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47"/>
      <c r="AG141" s="163"/>
      <c r="AH141" s="163"/>
      <c r="AI141" s="163"/>
      <c r="AJ141" s="163"/>
      <c r="AK141" s="163"/>
      <c r="AL141" s="163"/>
      <c r="AM141" s="163"/>
      <c r="AN141" s="239"/>
      <c r="AO141" s="239"/>
      <c r="AP141" s="242"/>
      <c r="AQ141" s="242"/>
      <c r="AR141" s="242"/>
      <c r="AS141" s="166">
        <f t="shared" si="14"/>
        <v>0</v>
      </c>
      <c r="AU141" s="30">
        <f t="shared" si="16"/>
        <v>0</v>
      </c>
      <c r="AV141" s="30">
        <f t="shared" si="16"/>
        <v>0</v>
      </c>
      <c r="AW141" s="30">
        <f t="shared" si="16"/>
        <v>0</v>
      </c>
      <c r="AX141" s="30">
        <f t="shared" si="16"/>
        <v>0</v>
      </c>
      <c r="AY141" s="30">
        <f t="shared" si="16"/>
        <v>0</v>
      </c>
      <c r="AZ141" s="30">
        <f t="shared" si="16"/>
        <v>0</v>
      </c>
      <c r="BA141" s="30">
        <f t="shared" si="16"/>
        <v>0</v>
      </c>
      <c r="BB141" s="39">
        <f t="shared" si="15"/>
        <v>0</v>
      </c>
    </row>
    <row r="142" spans="1:54">
      <c r="A142" s="168">
        <v>2315</v>
      </c>
      <c r="B142" s="2">
        <v>142358</v>
      </c>
      <c r="C142" s="2" t="s">
        <v>342</v>
      </c>
      <c r="E142" s="164">
        <v>0</v>
      </c>
      <c r="F142" s="164"/>
      <c r="G142" s="164">
        <v>0</v>
      </c>
      <c r="H142" s="164">
        <v>0</v>
      </c>
      <c r="I142" s="164">
        <v>0</v>
      </c>
      <c r="J142" s="164">
        <v>0</v>
      </c>
      <c r="K142" s="171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47"/>
      <c r="AG142" s="163"/>
      <c r="AH142" s="163"/>
      <c r="AI142" s="163"/>
      <c r="AJ142" s="163"/>
      <c r="AK142" s="163"/>
      <c r="AL142" s="163"/>
      <c r="AM142" s="163"/>
      <c r="AN142" s="239"/>
      <c r="AO142" s="239"/>
      <c r="AP142" s="242"/>
      <c r="AQ142" s="242"/>
      <c r="AR142" s="242"/>
      <c r="AS142" s="166">
        <f t="shared" si="14"/>
        <v>0</v>
      </c>
      <c r="AU142" s="30">
        <f t="shared" si="16"/>
        <v>0</v>
      </c>
      <c r="AV142" s="30">
        <f t="shared" si="16"/>
        <v>0</v>
      </c>
      <c r="AW142" s="30">
        <f t="shared" si="16"/>
        <v>0</v>
      </c>
      <c r="AX142" s="30">
        <f t="shared" si="16"/>
        <v>0</v>
      </c>
      <c r="AY142" s="30">
        <f t="shared" si="16"/>
        <v>0</v>
      </c>
      <c r="AZ142" s="30">
        <f t="shared" si="16"/>
        <v>0</v>
      </c>
      <c r="BA142" s="30">
        <f t="shared" si="16"/>
        <v>0</v>
      </c>
      <c r="BB142" s="39">
        <f t="shared" si="15"/>
        <v>0</v>
      </c>
    </row>
    <row r="143" spans="1:54">
      <c r="A143" s="168">
        <v>2263</v>
      </c>
      <c r="B143" s="2">
        <v>142203</v>
      </c>
      <c r="C143" s="2" t="s">
        <v>343</v>
      </c>
      <c r="E143" s="164">
        <v>0</v>
      </c>
      <c r="F143" s="164"/>
      <c r="G143" s="164">
        <v>0</v>
      </c>
      <c r="H143" s="164">
        <v>0</v>
      </c>
      <c r="I143" s="164">
        <v>0</v>
      </c>
      <c r="J143" s="164">
        <v>0</v>
      </c>
      <c r="K143" s="171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47"/>
      <c r="AG143" s="163"/>
      <c r="AH143" s="163"/>
      <c r="AI143" s="163"/>
      <c r="AJ143" s="163"/>
      <c r="AK143" s="163"/>
      <c r="AL143" s="163"/>
      <c r="AM143" s="163"/>
      <c r="AN143" s="239"/>
      <c r="AO143" s="239"/>
      <c r="AP143" s="242"/>
      <c r="AQ143" s="242"/>
      <c r="AR143" s="242"/>
      <c r="AS143" s="166">
        <f t="shared" si="14"/>
        <v>0</v>
      </c>
      <c r="AU143" s="30">
        <f t="shared" si="16"/>
        <v>0</v>
      </c>
      <c r="AV143" s="30">
        <f t="shared" si="16"/>
        <v>0</v>
      </c>
      <c r="AW143" s="30">
        <f t="shared" si="16"/>
        <v>0</v>
      </c>
      <c r="AX143" s="30">
        <f t="shared" si="16"/>
        <v>0</v>
      </c>
      <c r="AY143" s="30">
        <f t="shared" si="16"/>
        <v>0</v>
      </c>
      <c r="AZ143" s="30">
        <f t="shared" si="16"/>
        <v>0</v>
      </c>
      <c r="BA143" s="30">
        <f t="shared" si="16"/>
        <v>0</v>
      </c>
      <c r="BB143" s="39">
        <f t="shared" si="15"/>
        <v>0</v>
      </c>
    </row>
    <row r="144" spans="1:54">
      <c r="A144" s="168">
        <v>2212</v>
      </c>
      <c r="B144" s="2">
        <v>150692</v>
      </c>
      <c r="C144" s="2" t="s">
        <v>344</v>
      </c>
      <c r="E144" s="164">
        <v>0</v>
      </c>
      <c r="F144" s="164"/>
      <c r="G144" s="164">
        <v>0</v>
      </c>
      <c r="H144" s="164">
        <v>0</v>
      </c>
      <c r="I144" s="164">
        <v>0</v>
      </c>
      <c r="J144" s="164">
        <v>0</v>
      </c>
      <c r="K144" s="171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47"/>
      <c r="AG144" s="163"/>
      <c r="AH144" s="163"/>
      <c r="AI144" s="163"/>
      <c r="AJ144" s="163"/>
      <c r="AK144" s="163"/>
      <c r="AL144" s="163"/>
      <c r="AM144" s="163"/>
      <c r="AN144" s="239"/>
      <c r="AO144" s="239"/>
      <c r="AP144" s="242"/>
      <c r="AQ144" s="242"/>
      <c r="AR144" s="242"/>
      <c r="AS144" s="166">
        <f t="shared" si="14"/>
        <v>0</v>
      </c>
      <c r="AU144" s="30">
        <f t="shared" si="16"/>
        <v>0</v>
      </c>
      <c r="AV144" s="30">
        <f t="shared" si="16"/>
        <v>0</v>
      </c>
      <c r="AW144" s="30">
        <f t="shared" si="16"/>
        <v>0</v>
      </c>
      <c r="AX144" s="30">
        <f t="shared" si="16"/>
        <v>0</v>
      </c>
      <c r="AY144" s="30">
        <f t="shared" si="16"/>
        <v>0</v>
      </c>
      <c r="AZ144" s="30">
        <f t="shared" si="16"/>
        <v>0</v>
      </c>
      <c r="BA144" s="30">
        <f t="shared" si="16"/>
        <v>0</v>
      </c>
      <c r="BB144" s="39">
        <f t="shared" si="15"/>
        <v>0</v>
      </c>
    </row>
    <row r="145" spans="1:54">
      <c r="A145" s="168">
        <v>2102</v>
      </c>
      <c r="B145" s="2">
        <v>139120</v>
      </c>
      <c r="C145" s="2" t="s">
        <v>345</v>
      </c>
      <c r="E145" s="164">
        <v>0</v>
      </c>
      <c r="F145" s="164"/>
      <c r="G145" s="164">
        <v>0</v>
      </c>
      <c r="H145" s="164">
        <v>0</v>
      </c>
      <c r="I145" s="164">
        <v>0</v>
      </c>
      <c r="J145" s="164">
        <v>0</v>
      </c>
      <c r="K145" s="171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47"/>
      <c r="AG145" s="163"/>
      <c r="AH145" s="163"/>
      <c r="AI145" s="163"/>
      <c r="AJ145" s="163"/>
      <c r="AK145" s="163"/>
      <c r="AL145" s="163"/>
      <c r="AM145" s="163"/>
      <c r="AN145" s="239"/>
      <c r="AO145" s="239"/>
      <c r="AP145" s="242"/>
      <c r="AQ145" s="242"/>
      <c r="AR145" s="242"/>
      <c r="AS145" s="166">
        <f t="shared" si="14"/>
        <v>0</v>
      </c>
      <c r="AU145" s="30">
        <f t="shared" si="16"/>
        <v>0</v>
      </c>
      <c r="AV145" s="30">
        <f t="shared" si="16"/>
        <v>0</v>
      </c>
      <c r="AW145" s="30">
        <f t="shared" si="16"/>
        <v>0</v>
      </c>
      <c r="AX145" s="30">
        <f t="shared" si="16"/>
        <v>0</v>
      </c>
      <c r="AY145" s="30">
        <f t="shared" si="16"/>
        <v>0</v>
      </c>
      <c r="AZ145" s="30">
        <f t="shared" si="16"/>
        <v>0</v>
      </c>
      <c r="BA145" s="30">
        <f t="shared" si="16"/>
        <v>0</v>
      </c>
      <c r="BB145" s="39">
        <f t="shared" si="15"/>
        <v>0</v>
      </c>
    </row>
    <row r="146" spans="1:54">
      <c r="A146" s="168">
        <v>2107</v>
      </c>
      <c r="B146" s="2">
        <v>139129</v>
      </c>
      <c r="C146" s="2" t="s">
        <v>346</v>
      </c>
      <c r="E146" s="164">
        <v>0</v>
      </c>
      <c r="F146" s="164"/>
      <c r="G146" s="164">
        <v>0</v>
      </c>
      <c r="H146" s="164">
        <v>0</v>
      </c>
      <c r="I146" s="164">
        <v>0</v>
      </c>
      <c r="J146" s="164">
        <v>0</v>
      </c>
      <c r="K146" s="171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47"/>
      <c r="AG146" s="163"/>
      <c r="AH146" s="163"/>
      <c r="AI146" s="163"/>
      <c r="AJ146" s="163"/>
      <c r="AK146" s="163"/>
      <c r="AL146" s="163"/>
      <c r="AM146" s="163"/>
      <c r="AN146" s="239"/>
      <c r="AO146" s="239"/>
      <c r="AP146" s="242"/>
      <c r="AQ146" s="242"/>
      <c r="AR146" s="242"/>
      <c r="AS146" s="166">
        <f t="shared" si="14"/>
        <v>0</v>
      </c>
      <c r="AU146" s="30">
        <f t="shared" si="16"/>
        <v>0</v>
      </c>
      <c r="AV146" s="30">
        <f t="shared" si="16"/>
        <v>0</v>
      </c>
      <c r="AW146" s="30">
        <f t="shared" si="16"/>
        <v>0</v>
      </c>
      <c r="AX146" s="30">
        <f t="shared" si="16"/>
        <v>0</v>
      </c>
      <c r="AY146" s="30">
        <f t="shared" si="16"/>
        <v>0</v>
      </c>
      <c r="AZ146" s="30">
        <f t="shared" si="16"/>
        <v>0</v>
      </c>
      <c r="BA146" s="30">
        <f t="shared" si="16"/>
        <v>0</v>
      </c>
      <c r="BB146" s="39">
        <f t="shared" si="15"/>
        <v>0</v>
      </c>
    </row>
    <row r="147" spans="1:54">
      <c r="A147" s="168">
        <v>2117</v>
      </c>
      <c r="B147" s="2">
        <v>139242</v>
      </c>
      <c r="C147" s="2" t="s">
        <v>347</v>
      </c>
      <c r="E147" s="164">
        <v>0</v>
      </c>
      <c r="F147" s="164"/>
      <c r="G147" s="164">
        <v>0</v>
      </c>
      <c r="H147" s="164">
        <v>0</v>
      </c>
      <c r="I147" s="164">
        <v>0</v>
      </c>
      <c r="J147" s="164">
        <v>0</v>
      </c>
      <c r="K147" s="171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47"/>
      <c r="AG147" s="163"/>
      <c r="AH147" s="163"/>
      <c r="AI147" s="163"/>
      <c r="AJ147" s="163"/>
      <c r="AK147" s="163"/>
      <c r="AL147" s="163"/>
      <c r="AM147" s="163"/>
      <c r="AN147" s="239"/>
      <c r="AO147" s="239"/>
      <c r="AP147" s="242"/>
      <c r="AQ147" s="242"/>
      <c r="AR147" s="242"/>
      <c r="AS147" s="166">
        <f t="shared" si="14"/>
        <v>0</v>
      </c>
      <c r="AU147" s="30">
        <f t="shared" si="16"/>
        <v>0</v>
      </c>
      <c r="AV147" s="30">
        <f t="shared" si="16"/>
        <v>0</v>
      </c>
      <c r="AW147" s="30">
        <f t="shared" si="16"/>
        <v>0</v>
      </c>
      <c r="AX147" s="30">
        <f t="shared" si="16"/>
        <v>0</v>
      </c>
      <c r="AY147" s="30">
        <f t="shared" si="16"/>
        <v>0</v>
      </c>
      <c r="AZ147" s="30">
        <f t="shared" si="16"/>
        <v>0</v>
      </c>
      <c r="BA147" s="30">
        <f t="shared" si="16"/>
        <v>0</v>
      </c>
      <c r="BB147" s="39">
        <f t="shared" si="15"/>
        <v>0</v>
      </c>
    </row>
    <row r="148" spans="1:54">
      <c r="A148" s="168">
        <v>2141</v>
      </c>
      <c r="B148" s="2">
        <v>140161</v>
      </c>
      <c r="C148" s="2" t="s">
        <v>348</v>
      </c>
      <c r="E148" s="164">
        <v>0</v>
      </c>
      <c r="F148" s="164"/>
      <c r="G148" s="164">
        <v>0</v>
      </c>
      <c r="H148" s="164">
        <v>0</v>
      </c>
      <c r="I148" s="164">
        <v>0</v>
      </c>
      <c r="J148" s="164">
        <v>0</v>
      </c>
      <c r="K148" s="171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47"/>
      <c r="AG148" s="163"/>
      <c r="AH148" s="163"/>
      <c r="AI148" s="163"/>
      <c r="AJ148" s="163"/>
      <c r="AK148" s="163"/>
      <c r="AL148" s="163"/>
      <c r="AM148" s="163"/>
      <c r="AN148" s="239"/>
      <c r="AO148" s="239"/>
      <c r="AP148" s="242"/>
      <c r="AQ148" s="242"/>
      <c r="AR148" s="242"/>
      <c r="AS148" s="166">
        <f t="shared" si="14"/>
        <v>0</v>
      </c>
      <c r="AU148" s="30">
        <f t="shared" si="16"/>
        <v>0</v>
      </c>
      <c r="AV148" s="30">
        <f t="shared" si="16"/>
        <v>0</v>
      </c>
      <c r="AW148" s="30">
        <f t="shared" si="16"/>
        <v>0</v>
      </c>
      <c r="AX148" s="30">
        <f t="shared" si="16"/>
        <v>0</v>
      </c>
      <c r="AY148" s="30">
        <f t="shared" si="16"/>
        <v>0</v>
      </c>
      <c r="AZ148" s="30">
        <f t="shared" si="16"/>
        <v>0</v>
      </c>
      <c r="BA148" s="30">
        <f t="shared" si="16"/>
        <v>0</v>
      </c>
      <c r="BB148" s="39">
        <f t="shared" si="15"/>
        <v>0</v>
      </c>
    </row>
    <row r="149" spans="1:54">
      <c r="A149" s="168">
        <v>2110</v>
      </c>
      <c r="B149" s="2">
        <v>139214</v>
      </c>
      <c r="C149" s="2" t="s">
        <v>349</v>
      </c>
      <c r="E149" s="164">
        <v>0</v>
      </c>
      <c r="F149" s="164"/>
      <c r="G149" s="164">
        <v>0</v>
      </c>
      <c r="H149" s="164">
        <v>0</v>
      </c>
      <c r="I149" s="164">
        <v>0</v>
      </c>
      <c r="J149" s="164">
        <v>0</v>
      </c>
      <c r="K149" s="171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47"/>
      <c r="AG149" s="163"/>
      <c r="AH149" s="163"/>
      <c r="AI149" s="163"/>
      <c r="AJ149" s="163"/>
      <c r="AK149" s="163"/>
      <c r="AL149" s="163"/>
      <c r="AM149" s="163"/>
      <c r="AN149" s="239"/>
      <c r="AO149" s="239"/>
      <c r="AP149" s="242"/>
      <c r="AQ149" s="242"/>
      <c r="AR149" s="242"/>
      <c r="AS149" s="166">
        <f t="shared" si="14"/>
        <v>0</v>
      </c>
      <c r="AU149" s="30">
        <f t="shared" si="16"/>
        <v>0</v>
      </c>
      <c r="AV149" s="30">
        <f t="shared" si="16"/>
        <v>0</v>
      </c>
      <c r="AW149" s="30">
        <f t="shared" si="16"/>
        <v>0</v>
      </c>
      <c r="AX149" s="30">
        <f t="shared" si="16"/>
        <v>0</v>
      </c>
      <c r="AY149" s="30">
        <f t="shared" si="16"/>
        <v>0</v>
      </c>
      <c r="AZ149" s="30">
        <f t="shared" si="16"/>
        <v>0</v>
      </c>
      <c r="BA149" s="30">
        <f t="shared" si="16"/>
        <v>0</v>
      </c>
      <c r="BB149" s="39">
        <f t="shared" si="15"/>
        <v>0</v>
      </c>
    </row>
    <row r="150" spans="1:54">
      <c r="A150" s="168">
        <v>2103</v>
      </c>
      <c r="B150" s="2">
        <v>139125</v>
      </c>
      <c r="C150" s="2" t="s">
        <v>350</v>
      </c>
      <c r="E150" s="164">
        <v>0</v>
      </c>
      <c r="F150" s="164"/>
      <c r="G150" s="164">
        <v>0</v>
      </c>
      <c r="H150" s="164">
        <v>0</v>
      </c>
      <c r="I150" s="164">
        <v>0</v>
      </c>
      <c r="J150" s="164">
        <v>0</v>
      </c>
      <c r="K150" s="171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47"/>
      <c r="AG150" s="163"/>
      <c r="AH150" s="163"/>
      <c r="AI150" s="163"/>
      <c r="AJ150" s="163"/>
      <c r="AK150" s="163"/>
      <c r="AL150" s="163"/>
      <c r="AM150" s="163"/>
      <c r="AN150" s="239"/>
      <c r="AO150" s="239"/>
      <c r="AP150" s="242"/>
      <c r="AQ150" s="242"/>
      <c r="AR150" s="242"/>
      <c r="AS150" s="166">
        <f t="shared" si="14"/>
        <v>0</v>
      </c>
      <c r="AU150" s="30">
        <f t="shared" si="16"/>
        <v>0</v>
      </c>
      <c r="AV150" s="30">
        <f t="shared" si="16"/>
        <v>0</v>
      </c>
      <c r="AW150" s="30">
        <f t="shared" si="16"/>
        <v>0</v>
      </c>
      <c r="AX150" s="30">
        <f t="shared" si="16"/>
        <v>0</v>
      </c>
      <c r="AY150" s="30">
        <f t="shared" si="16"/>
        <v>0</v>
      </c>
      <c r="AZ150" s="30">
        <f t="shared" si="16"/>
        <v>0</v>
      </c>
      <c r="BA150" s="30">
        <f t="shared" si="16"/>
        <v>0</v>
      </c>
      <c r="BB150" s="39">
        <f t="shared" si="15"/>
        <v>0</v>
      </c>
    </row>
    <row r="151" spans="1:54">
      <c r="A151" s="168">
        <v>2221</v>
      </c>
      <c r="B151" s="2">
        <v>150894</v>
      </c>
      <c r="C151" s="2" t="s">
        <v>351</v>
      </c>
      <c r="E151" s="164">
        <v>0</v>
      </c>
      <c r="F151" s="164"/>
      <c r="G151" s="164">
        <v>0</v>
      </c>
      <c r="H151" s="164">
        <v>0</v>
      </c>
      <c r="I151" s="164">
        <v>0</v>
      </c>
      <c r="J151" s="164">
        <v>0</v>
      </c>
      <c r="K151" s="171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47"/>
      <c r="AG151" s="163"/>
      <c r="AH151" s="163"/>
      <c r="AI151" s="163"/>
      <c r="AJ151" s="163"/>
      <c r="AK151" s="163"/>
      <c r="AL151" s="163"/>
      <c r="AM151" s="163"/>
      <c r="AN151" s="239"/>
      <c r="AO151" s="239"/>
      <c r="AP151" s="242"/>
      <c r="AQ151" s="242"/>
      <c r="AR151" s="242"/>
      <c r="AS151" s="166">
        <f t="shared" si="14"/>
        <v>0</v>
      </c>
      <c r="AU151" s="30">
        <f t="shared" si="16"/>
        <v>0</v>
      </c>
      <c r="AV151" s="30">
        <f t="shared" si="16"/>
        <v>0</v>
      </c>
      <c r="AW151" s="30">
        <f t="shared" si="16"/>
        <v>0</v>
      </c>
      <c r="AX151" s="30">
        <f t="shared" si="16"/>
        <v>0</v>
      </c>
      <c r="AY151" s="30">
        <f t="shared" si="16"/>
        <v>0</v>
      </c>
      <c r="AZ151" s="30">
        <f t="shared" si="16"/>
        <v>0</v>
      </c>
      <c r="BA151" s="30">
        <f t="shared" si="16"/>
        <v>0</v>
      </c>
      <c r="BB151" s="39">
        <f t="shared" si="15"/>
        <v>0</v>
      </c>
    </row>
    <row r="152" spans="1:54">
      <c r="A152" s="168">
        <v>2105</v>
      </c>
      <c r="B152" s="2">
        <v>139128</v>
      </c>
      <c r="C152" s="2" t="s">
        <v>352</v>
      </c>
      <c r="E152" s="164">
        <v>0</v>
      </c>
      <c r="F152" s="164"/>
      <c r="G152" s="164">
        <v>0</v>
      </c>
      <c r="H152" s="164">
        <v>0</v>
      </c>
      <c r="I152" s="164">
        <v>0</v>
      </c>
      <c r="J152" s="164">
        <v>0</v>
      </c>
      <c r="K152" s="171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47"/>
      <c r="AG152" s="163"/>
      <c r="AH152" s="163"/>
      <c r="AI152" s="163"/>
      <c r="AJ152" s="163"/>
      <c r="AK152" s="163"/>
      <c r="AL152" s="163"/>
      <c r="AM152" s="163"/>
      <c r="AN152" s="239"/>
      <c r="AO152" s="239"/>
      <c r="AP152" s="242"/>
      <c r="AQ152" s="242"/>
      <c r="AR152" s="242"/>
      <c r="AS152" s="166">
        <f t="shared" si="14"/>
        <v>0</v>
      </c>
      <c r="AU152" s="30">
        <f t="shared" si="16"/>
        <v>0</v>
      </c>
      <c r="AV152" s="30">
        <f t="shared" si="16"/>
        <v>0</v>
      </c>
      <c r="AW152" s="30">
        <f t="shared" si="16"/>
        <v>0</v>
      </c>
      <c r="AX152" s="30">
        <f t="shared" si="16"/>
        <v>0</v>
      </c>
      <c r="AY152" s="30">
        <f t="shared" si="16"/>
        <v>0</v>
      </c>
      <c r="AZ152" s="30">
        <f t="shared" si="16"/>
        <v>0</v>
      </c>
      <c r="BA152" s="30">
        <f t="shared" si="16"/>
        <v>0</v>
      </c>
      <c r="BB152" s="39">
        <f t="shared" si="15"/>
        <v>0</v>
      </c>
    </row>
    <row r="153" spans="1:54">
      <c r="A153" s="2">
        <v>7007</v>
      </c>
      <c r="B153" s="2">
        <v>151642</v>
      </c>
      <c r="C153" s="168" t="s">
        <v>483</v>
      </c>
      <c r="E153" s="164"/>
      <c r="F153" s="164"/>
      <c r="G153" s="164">
        <v>89751.788936693498</v>
      </c>
      <c r="H153" s="164">
        <v>61342.44</v>
      </c>
      <c r="I153" s="164">
        <v>-3234.47652173913</v>
      </c>
      <c r="J153" s="164">
        <v>-4315.0308695652166</v>
      </c>
      <c r="K153" s="171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47"/>
      <c r="AG153" s="163"/>
      <c r="AH153" s="163"/>
      <c r="AI153" s="163"/>
      <c r="AJ153" s="163"/>
      <c r="AK153" s="163"/>
      <c r="AL153" s="163"/>
      <c r="AM153" s="163"/>
      <c r="AN153" s="239"/>
      <c r="AO153" s="239"/>
      <c r="AP153" s="242"/>
      <c r="AQ153" s="242"/>
      <c r="AR153" s="242"/>
      <c r="AS153" s="166"/>
      <c r="AU153" s="30"/>
      <c r="AV153" s="30"/>
      <c r="AW153" s="30"/>
      <c r="AX153" s="30"/>
      <c r="AY153" s="30"/>
      <c r="AZ153" s="30"/>
      <c r="BA153" s="30"/>
      <c r="BB153" s="39"/>
    </row>
    <row r="154" spans="1:54">
      <c r="A154" s="168">
        <v>2206</v>
      </c>
      <c r="B154" s="2">
        <v>147758</v>
      </c>
      <c r="C154" s="2" t="s">
        <v>353</v>
      </c>
      <c r="E154" s="164">
        <v>0</v>
      </c>
      <c r="F154" s="164"/>
      <c r="G154" s="164">
        <v>0</v>
      </c>
      <c r="H154" s="164">
        <v>0</v>
      </c>
      <c r="I154" s="164">
        <v>0</v>
      </c>
      <c r="J154" s="164">
        <v>0</v>
      </c>
      <c r="K154" s="171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47"/>
      <c r="AG154" s="163"/>
      <c r="AH154" s="163"/>
      <c r="AI154" s="163"/>
      <c r="AJ154" s="163"/>
      <c r="AK154" s="163"/>
      <c r="AL154" s="163"/>
      <c r="AM154" s="163"/>
      <c r="AN154" s="239"/>
      <c r="AO154" s="239"/>
      <c r="AP154" s="242"/>
      <c r="AQ154" s="242"/>
      <c r="AR154" s="242"/>
      <c r="AS154" s="166">
        <f t="shared" si="14"/>
        <v>0</v>
      </c>
      <c r="AU154" s="30">
        <f t="shared" si="16"/>
        <v>0</v>
      </c>
      <c r="AV154" s="30">
        <f t="shared" si="16"/>
        <v>0</v>
      </c>
      <c r="AW154" s="30">
        <f t="shared" si="16"/>
        <v>0</v>
      </c>
      <c r="AX154" s="30">
        <f t="shared" si="16"/>
        <v>0</v>
      </c>
      <c r="AY154" s="30">
        <f t="shared" si="16"/>
        <v>0</v>
      </c>
      <c r="AZ154" s="30">
        <f t="shared" si="16"/>
        <v>0</v>
      </c>
      <c r="BA154" s="30">
        <f t="shared" si="16"/>
        <v>0</v>
      </c>
      <c r="BB154" s="39">
        <f t="shared" si="15"/>
        <v>0</v>
      </c>
    </row>
    <row r="155" spans="1:54">
      <c r="A155" s="168">
        <v>3374</v>
      </c>
      <c r="B155" s="2">
        <v>141484</v>
      </c>
      <c r="C155" s="2" t="s">
        <v>354</v>
      </c>
      <c r="E155" s="164">
        <v>0</v>
      </c>
      <c r="F155" s="164"/>
      <c r="G155" s="164">
        <v>0</v>
      </c>
      <c r="H155" s="164">
        <v>0</v>
      </c>
      <c r="I155" s="164">
        <v>0</v>
      </c>
      <c r="J155" s="164">
        <v>0</v>
      </c>
      <c r="K155" s="171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47"/>
      <c r="AG155" s="163"/>
      <c r="AH155" s="163"/>
      <c r="AI155" s="163"/>
      <c r="AJ155" s="163"/>
      <c r="AK155" s="163"/>
      <c r="AL155" s="163"/>
      <c r="AM155" s="163"/>
      <c r="AN155" s="239"/>
      <c r="AO155" s="239"/>
      <c r="AP155" s="242"/>
      <c r="AQ155" s="242"/>
      <c r="AR155" s="242"/>
      <c r="AS155" s="166">
        <f t="shared" si="14"/>
        <v>0</v>
      </c>
      <c r="AU155" s="30">
        <f t="shared" si="16"/>
        <v>0</v>
      </c>
      <c r="AV155" s="30">
        <f t="shared" si="16"/>
        <v>0</v>
      </c>
      <c r="AW155" s="30">
        <f t="shared" si="16"/>
        <v>0</v>
      </c>
      <c r="AX155" s="30">
        <f t="shared" si="16"/>
        <v>0</v>
      </c>
      <c r="AY155" s="30">
        <f t="shared" si="16"/>
        <v>0</v>
      </c>
      <c r="AZ155" s="30">
        <f t="shared" si="16"/>
        <v>0</v>
      </c>
      <c r="BA155" s="30">
        <f t="shared" si="16"/>
        <v>0</v>
      </c>
      <c r="BB155" s="39">
        <f t="shared" si="15"/>
        <v>0</v>
      </c>
    </row>
    <row r="156" spans="1:54">
      <c r="A156" s="168">
        <v>3357</v>
      </c>
      <c r="B156" s="2">
        <v>148082</v>
      </c>
      <c r="C156" s="2" t="s">
        <v>355</v>
      </c>
      <c r="E156" s="164">
        <v>0</v>
      </c>
      <c r="F156" s="164"/>
      <c r="G156" s="164">
        <v>0</v>
      </c>
      <c r="H156" s="164">
        <v>0</v>
      </c>
      <c r="I156" s="164">
        <v>0</v>
      </c>
      <c r="J156" s="164">
        <v>0</v>
      </c>
      <c r="K156" s="171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47"/>
      <c r="AG156" s="163"/>
      <c r="AH156" s="163"/>
      <c r="AI156" s="163"/>
      <c r="AJ156" s="163"/>
      <c r="AK156" s="163"/>
      <c r="AL156" s="163"/>
      <c r="AM156" s="163"/>
      <c r="AN156" s="239"/>
      <c r="AO156" s="239"/>
      <c r="AP156" s="242"/>
      <c r="AQ156" s="242"/>
      <c r="AR156" s="242"/>
      <c r="AS156" s="166">
        <f t="shared" si="14"/>
        <v>0</v>
      </c>
      <c r="AU156" s="30">
        <f t="shared" si="16"/>
        <v>0</v>
      </c>
      <c r="AV156" s="30">
        <f t="shared" si="16"/>
        <v>0</v>
      </c>
      <c r="AW156" s="30">
        <f t="shared" si="16"/>
        <v>0</v>
      </c>
      <c r="AX156" s="30">
        <f t="shared" si="16"/>
        <v>0</v>
      </c>
      <c r="AY156" s="30">
        <f t="shared" si="16"/>
        <v>0</v>
      </c>
      <c r="AZ156" s="30">
        <f t="shared" si="16"/>
        <v>0</v>
      </c>
      <c r="BA156" s="30">
        <f t="shared" si="16"/>
        <v>0</v>
      </c>
      <c r="BB156" s="39">
        <f t="shared" si="15"/>
        <v>0</v>
      </c>
    </row>
    <row r="157" spans="1:54">
      <c r="A157" s="168">
        <v>2021</v>
      </c>
      <c r="B157" s="2">
        <v>150148</v>
      </c>
      <c r="C157" s="2" t="s">
        <v>356</v>
      </c>
      <c r="E157" s="164">
        <v>0</v>
      </c>
      <c r="F157" s="164"/>
      <c r="G157" s="164">
        <v>0</v>
      </c>
      <c r="H157" s="164">
        <v>0</v>
      </c>
      <c r="I157" s="164">
        <v>0</v>
      </c>
      <c r="J157" s="164">
        <v>0</v>
      </c>
      <c r="K157" s="171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47"/>
      <c r="AG157" s="163"/>
      <c r="AH157" s="163"/>
      <c r="AI157" s="163"/>
      <c r="AJ157" s="163"/>
      <c r="AK157" s="163"/>
      <c r="AL157" s="163"/>
      <c r="AM157" s="163"/>
      <c r="AN157" s="239"/>
      <c r="AO157" s="239"/>
      <c r="AP157" s="242"/>
      <c r="AQ157" s="242"/>
      <c r="AR157" s="242"/>
      <c r="AS157" s="166">
        <f t="shared" si="14"/>
        <v>0</v>
      </c>
      <c r="AU157" s="30">
        <f t="shared" si="16"/>
        <v>0</v>
      </c>
      <c r="AV157" s="30">
        <f t="shared" si="16"/>
        <v>0</v>
      </c>
      <c r="AW157" s="30">
        <f t="shared" si="16"/>
        <v>0</v>
      </c>
      <c r="AX157" s="30">
        <f t="shared" si="16"/>
        <v>0</v>
      </c>
      <c r="AY157" s="30">
        <f t="shared" si="16"/>
        <v>0</v>
      </c>
      <c r="AZ157" s="30">
        <f t="shared" si="16"/>
        <v>0</v>
      </c>
      <c r="BA157" s="30">
        <f t="shared" si="16"/>
        <v>0</v>
      </c>
      <c r="BB157" s="39">
        <f t="shared" si="15"/>
        <v>0</v>
      </c>
    </row>
    <row r="158" spans="1:54">
      <c r="A158" s="168">
        <v>2149</v>
      </c>
      <c r="B158" s="2">
        <v>150639</v>
      </c>
      <c r="C158" s="2" t="s">
        <v>151</v>
      </c>
      <c r="E158" s="164">
        <v>0</v>
      </c>
      <c r="F158" s="164"/>
      <c r="G158" s="164">
        <v>0</v>
      </c>
      <c r="H158" s="164">
        <v>0</v>
      </c>
      <c r="I158" s="164">
        <v>0</v>
      </c>
      <c r="J158" s="164">
        <v>0</v>
      </c>
      <c r="K158" s="171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47"/>
      <c r="AG158" s="163"/>
      <c r="AH158" s="163"/>
      <c r="AI158" s="163"/>
      <c r="AJ158" s="163"/>
      <c r="AK158" s="163"/>
      <c r="AL158" s="163"/>
      <c r="AM158" s="163"/>
      <c r="AN158" s="239"/>
      <c r="AO158" s="239"/>
      <c r="AP158" s="242"/>
      <c r="AQ158" s="242"/>
      <c r="AR158" s="242"/>
      <c r="AS158" s="166">
        <f t="shared" si="14"/>
        <v>0</v>
      </c>
      <c r="AU158" s="30">
        <f t="shared" si="16"/>
        <v>0</v>
      </c>
      <c r="AV158" s="30">
        <f t="shared" si="16"/>
        <v>0</v>
      </c>
      <c r="AW158" s="30">
        <f t="shared" si="16"/>
        <v>0</v>
      </c>
      <c r="AX158" s="30">
        <f t="shared" si="16"/>
        <v>0</v>
      </c>
      <c r="AY158" s="30">
        <f t="shared" si="16"/>
        <v>0</v>
      </c>
      <c r="AZ158" s="30">
        <f t="shared" si="16"/>
        <v>0</v>
      </c>
      <c r="BA158" s="30">
        <f t="shared" si="16"/>
        <v>0</v>
      </c>
      <c r="BB158" s="39">
        <f t="shared" si="15"/>
        <v>0</v>
      </c>
    </row>
    <row r="159" spans="1:54">
      <c r="A159" s="168">
        <v>2458</v>
      </c>
      <c r="B159" s="2">
        <v>139162</v>
      </c>
      <c r="C159" s="2" t="s">
        <v>357</v>
      </c>
      <c r="E159" s="164">
        <v>0</v>
      </c>
      <c r="F159" s="164"/>
      <c r="G159" s="164">
        <v>0</v>
      </c>
      <c r="H159" s="164">
        <v>0</v>
      </c>
      <c r="I159" s="164">
        <v>0</v>
      </c>
      <c r="J159" s="164">
        <v>0</v>
      </c>
      <c r="K159" s="171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47"/>
      <c r="AG159" s="163"/>
      <c r="AH159" s="163"/>
      <c r="AI159" s="163"/>
      <c r="AJ159" s="163"/>
      <c r="AK159" s="163"/>
      <c r="AL159" s="163"/>
      <c r="AM159" s="163"/>
      <c r="AN159" s="239"/>
      <c r="AO159" s="239"/>
      <c r="AP159" s="242"/>
      <c r="AQ159" s="242"/>
      <c r="AR159" s="242"/>
      <c r="AS159" s="166">
        <f t="shared" si="14"/>
        <v>0</v>
      </c>
      <c r="AU159" s="30">
        <f t="shared" si="16"/>
        <v>0</v>
      </c>
      <c r="AV159" s="30">
        <f t="shared" si="16"/>
        <v>0</v>
      </c>
      <c r="AW159" s="30">
        <f t="shared" si="16"/>
        <v>0</v>
      </c>
      <c r="AX159" s="30">
        <f t="shared" si="16"/>
        <v>0</v>
      </c>
      <c r="AY159" s="30">
        <f t="shared" si="16"/>
        <v>0</v>
      </c>
      <c r="AZ159" s="30">
        <f t="shared" si="16"/>
        <v>0</v>
      </c>
      <c r="BA159" s="30">
        <f t="shared" si="16"/>
        <v>0</v>
      </c>
      <c r="BB159" s="39">
        <f t="shared" si="15"/>
        <v>0</v>
      </c>
    </row>
    <row r="160" spans="1:54">
      <c r="A160" s="168">
        <v>2452</v>
      </c>
      <c r="B160" s="2">
        <v>139631</v>
      </c>
      <c r="C160" s="2" t="s">
        <v>358</v>
      </c>
      <c r="E160" s="164">
        <v>0</v>
      </c>
      <c r="F160" s="164"/>
      <c r="G160" s="164">
        <v>0</v>
      </c>
      <c r="H160" s="164">
        <v>0</v>
      </c>
      <c r="I160" s="164">
        <v>0</v>
      </c>
      <c r="J160" s="164">
        <v>0</v>
      </c>
      <c r="K160" s="171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47"/>
      <c r="AG160" s="163"/>
      <c r="AH160" s="163"/>
      <c r="AI160" s="163"/>
      <c r="AJ160" s="163"/>
      <c r="AK160" s="163"/>
      <c r="AL160" s="163"/>
      <c r="AM160" s="163"/>
      <c r="AN160" s="239"/>
      <c r="AO160" s="239"/>
      <c r="AP160" s="242"/>
      <c r="AQ160" s="242"/>
      <c r="AR160" s="242"/>
      <c r="AS160" s="166">
        <f t="shared" si="14"/>
        <v>0</v>
      </c>
      <c r="AU160" s="30">
        <f t="shared" si="16"/>
        <v>0</v>
      </c>
      <c r="AV160" s="30">
        <f t="shared" si="16"/>
        <v>0</v>
      </c>
      <c r="AW160" s="30">
        <f t="shared" si="16"/>
        <v>0</v>
      </c>
      <c r="AX160" s="30">
        <f t="shared" si="16"/>
        <v>0</v>
      </c>
      <c r="AY160" s="30">
        <f t="shared" si="16"/>
        <v>0</v>
      </c>
      <c r="AZ160" s="30">
        <f t="shared" si="16"/>
        <v>0</v>
      </c>
      <c r="BA160" s="30">
        <f t="shared" si="16"/>
        <v>0</v>
      </c>
      <c r="BB160" s="39">
        <f t="shared" si="15"/>
        <v>0</v>
      </c>
    </row>
    <row r="161" spans="1:54">
      <c r="A161" s="168">
        <v>2057</v>
      </c>
      <c r="B161" s="2">
        <v>138410</v>
      </c>
      <c r="C161" s="2" t="s">
        <v>359</v>
      </c>
      <c r="E161" s="164">
        <v>0</v>
      </c>
      <c r="F161" s="164"/>
      <c r="G161" s="164">
        <v>0</v>
      </c>
      <c r="H161" s="164">
        <v>0</v>
      </c>
      <c r="I161" s="164">
        <v>0</v>
      </c>
      <c r="J161" s="164">
        <v>0</v>
      </c>
      <c r="K161" s="171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47"/>
      <c r="AG161" s="163"/>
      <c r="AH161" s="163"/>
      <c r="AI161" s="163"/>
      <c r="AJ161" s="163"/>
      <c r="AK161" s="163"/>
      <c r="AL161" s="163"/>
      <c r="AM161" s="163"/>
      <c r="AN161" s="239"/>
      <c r="AO161" s="239"/>
      <c r="AP161" s="242"/>
      <c r="AQ161" s="242"/>
      <c r="AR161" s="242"/>
      <c r="AS161" s="166">
        <f t="shared" si="14"/>
        <v>0</v>
      </c>
      <c r="AU161" s="30">
        <f t="shared" si="16"/>
        <v>0</v>
      </c>
      <c r="AV161" s="30">
        <f t="shared" si="16"/>
        <v>0</v>
      </c>
      <c r="AW161" s="30">
        <f t="shared" si="16"/>
        <v>0</v>
      </c>
      <c r="AX161" s="30">
        <f t="shared" si="16"/>
        <v>0</v>
      </c>
      <c r="AY161" s="30">
        <f t="shared" si="16"/>
        <v>0</v>
      </c>
      <c r="AZ161" s="30">
        <f t="shared" si="16"/>
        <v>0</v>
      </c>
      <c r="BA161" s="30">
        <f t="shared" si="16"/>
        <v>0</v>
      </c>
      <c r="BB161" s="39">
        <f t="shared" si="15"/>
        <v>0</v>
      </c>
    </row>
    <row r="162" spans="1:54">
      <c r="A162" s="168">
        <v>4331</v>
      </c>
      <c r="B162" s="2">
        <v>137053</v>
      </c>
      <c r="C162" s="2" t="s">
        <v>360</v>
      </c>
      <c r="E162" s="164">
        <v>0</v>
      </c>
      <c r="F162" s="164"/>
      <c r="G162" s="164">
        <v>0</v>
      </c>
      <c r="H162" s="164">
        <v>0</v>
      </c>
      <c r="I162" s="164">
        <v>0</v>
      </c>
      <c r="J162" s="164">
        <v>0</v>
      </c>
      <c r="K162" s="171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47"/>
      <c r="AG162" s="163"/>
      <c r="AH162" s="163"/>
      <c r="AI162" s="163"/>
      <c r="AJ162" s="163"/>
      <c r="AK162" s="163"/>
      <c r="AL162" s="163"/>
      <c r="AM162" s="163"/>
      <c r="AN162" s="239"/>
      <c r="AO162" s="239"/>
      <c r="AP162" s="242"/>
      <c r="AQ162" s="242"/>
      <c r="AR162" s="242"/>
      <c r="AS162" s="166">
        <f t="shared" si="14"/>
        <v>0</v>
      </c>
      <c r="AU162" s="30">
        <f t="shared" si="16"/>
        <v>0</v>
      </c>
      <c r="AV162" s="30">
        <f t="shared" si="16"/>
        <v>0</v>
      </c>
      <c r="AW162" s="30">
        <f t="shared" si="16"/>
        <v>0</v>
      </c>
      <c r="AX162" s="30">
        <f t="shared" si="16"/>
        <v>0</v>
      </c>
      <c r="AY162" s="30">
        <f t="shared" si="16"/>
        <v>0</v>
      </c>
      <c r="AZ162" s="30">
        <f t="shared" si="16"/>
        <v>0</v>
      </c>
      <c r="BA162" s="30">
        <f t="shared" si="16"/>
        <v>0</v>
      </c>
      <c r="BB162" s="39">
        <f t="shared" si="15"/>
        <v>0</v>
      </c>
    </row>
    <row r="163" spans="1:54">
      <c r="A163" s="168">
        <v>4041</v>
      </c>
      <c r="B163" s="2">
        <v>148553</v>
      </c>
      <c r="C163" s="2" t="s">
        <v>361</v>
      </c>
      <c r="E163" s="164">
        <v>0</v>
      </c>
      <c r="F163" s="164"/>
      <c r="G163" s="164">
        <v>0</v>
      </c>
      <c r="H163" s="164">
        <v>0</v>
      </c>
      <c r="I163" s="164">
        <v>0</v>
      </c>
      <c r="J163" s="164">
        <v>0</v>
      </c>
      <c r="K163" s="171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47"/>
      <c r="AG163" s="163"/>
      <c r="AH163" s="163"/>
      <c r="AI163" s="163"/>
      <c r="AJ163" s="163"/>
      <c r="AK163" s="163"/>
      <c r="AL163" s="163"/>
      <c r="AM163" s="163"/>
      <c r="AN163" s="239"/>
      <c r="AO163" s="239"/>
      <c r="AP163" s="242"/>
      <c r="AQ163" s="242"/>
      <c r="AR163" s="242"/>
      <c r="AS163" s="166">
        <f t="shared" si="14"/>
        <v>0</v>
      </c>
      <c r="AU163" s="30">
        <f t="shared" si="16"/>
        <v>0</v>
      </c>
      <c r="AV163" s="30">
        <f t="shared" si="16"/>
        <v>0</v>
      </c>
      <c r="AW163" s="30">
        <f t="shared" si="16"/>
        <v>0</v>
      </c>
      <c r="AX163" s="30">
        <f t="shared" si="16"/>
        <v>0</v>
      </c>
      <c r="AY163" s="30">
        <f t="shared" si="16"/>
        <v>0</v>
      </c>
      <c r="AZ163" s="30">
        <f t="shared" ref="AU163:BA188" si="17">SUMIF($E$3:$AR$3,AZ$6,$E163:$AR163)</f>
        <v>0</v>
      </c>
      <c r="BA163" s="30">
        <f t="shared" si="17"/>
        <v>0</v>
      </c>
      <c r="BB163" s="39">
        <f t="shared" si="15"/>
        <v>0</v>
      </c>
    </row>
    <row r="164" spans="1:54">
      <c r="A164" s="168">
        <v>2003</v>
      </c>
      <c r="B164" s="2">
        <v>142230</v>
      </c>
      <c r="C164" s="2" t="s">
        <v>362</v>
      </c>
      <c r="E164" s="164">
        <v>0</v>
      </c>
      <c r="F164" s="164"/>
      <c r="G164" s="164">
        <v>0</v>
      </c>
      <c r="H164" s="164">
        <v>0</v>
      </c>
      <c r="I164" s="164">
        <v>0</v>
      </c>
      <c r="J164" s="164">
        <v>0</v>
      </c>
      <c r="K164" s="171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47"/>
      <c r="AG164" s="163"/>
      <c r="AH164" s="163"/>
      <c r="AI164" s="163"/>
      <c r="AJ164" s="163"/>
      <c r="AK164" s="163"/>
      <c r="AL164" s="163"/>
      <c r="AM164" s="163"/>
      <c r="AN164" s="239"/>
      <c r="AO164" s="239"/>
      <c r="AP164" s="242"/>
      <c r="AQ164" s="242"/>
      <c r="AR164" s="242"/>
      <c r="AS164" s="166">
        <f t="shared" si="14"/>
        <v>0</v>
      </c>
      <c r="AU164" s="30">
        <f t="shared" si="17"/>
        <v>0</v>
      </c>
      <c r="AV164" s="30">
        <f t="shared" si="17"/>
        <v>0</v>
      </c>
      <c r="AW164" s="30">
        <f t="shared" si="17"/>
        <v>0</v>
      </c>
      <c r="AX164" s="30">
        <f t="shared" si="17"/>
        <v>0</v>
      </c>
      <c r="AY164" s="30">
        <f t="shared" si="17"/>
        <v>0</v>
      </c>
      <c r="AZ164" s="30">
        <f t="shared" si="17"/>
        <v>0</v>
      </c>
      <c r="BA164" s="30">
        <f t="shared" si="17"/>
        <v>0</v>
      </c>
      <c r="BB164" s="39">
        <f t="shared" si="15"/>
        <v>0</v>
      </c>
    </row>
    <row r="165" spans="1:54">
      <c r="A165" s="168">
        <v>2156</v>
      </c>
      <c r="B165" s="2">
        <v>143436</v>
      </c>
      <c r="C165" s="2" t="s">
        <v>363</v>
      </c>
      <c r="E165" s="164">
        <v>0</v>
      </c>
      <c r="F165" s="164"/>
      <c r="G165" s="164">
        <v>0</v>
      </c>
      <c r="H165" s="164">
        <v>0</v>
      </c>
      <c r="I165" s="164">
        <v>0</v>
      </c>
      <c r="J165" s="164">
        <v>0</v>
      </c>
      <c r="K165" s="171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47"/>
      <c r="AG165" s="163"/>
      <c r="AH165" s="163"/>
      <c r="AI165" s="163"/>
      <c r="AJ165" s="163"/>
      <c r="AK165" s="163"/>
      <c r="AL165" s="163"/>
      <c r="AM165" s="163"/>
      <c r="AN165" s="239"/>
      <c r="AO165" s="239"/>
      <c r="AP165" s="242"/>
      <c r="AQ165" s="242"/>
      <c r="AR165" s="242"/>
      <c r="AS165" s="166">
        <f t="shared" si="14"/>
        <v>0</v>
      </c>
      <c r="AU165" s="30">
        <f t="shared" si="17"/>
        <v>0</v>
      </c>
      <c r="AV165" s="30">
        <f t="shared" si="17"/>
        <v>0</v>
      </c>
      <c r="AW165" s="30">
        <f t="shared" si="17"/>
        <v>0</v>
      </c>
      <c r="AX165" s="30">
        <f t="shared" si="17"/>
        <v>0</v>
      </c>
      <c r="AY165" s="30">
        <f t="shared" si="17"/>
        <v>0</v>
      </c>
      <c r="AZ165" s="30">
        <f t="shared" si="17"/>
        <v>0</v>
      </c>
      <c r="BA165" s="30">
        <f t="shared" si="17"/>
        <v>0</v>
      </c>
      <c r="BB165" s="39">
        <f t="shared" si="15"/>
        <v>0</v>
      </c>
    </row>
    <row r="166" spans="1:54">
      <c r="A166" s="168">
        <v>2198</v>
      </c>
      <c r="B166" s="2">
        <v>146817</v>
      </c>
      <c r="C166" s="2" t="s">
        <v>364</v>
      </c>
      <c r="E166" s="164">
        <v>0</v>
      </c>
      <c r="F166" s="164"/>
      <c r="G166" s="164">
        <v>0</v>
      </c>
      <c r="H166" s="164">
        <v>0</v>
      </c>
      <c r="I166" s="164">
        <v>0</v>
      </c>
      <c r="J166" s="164">
        <v>0</v>
      </c>
      <c r="K166" s="171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47"/>
      <c r="AG166" s="163"/>
      <c r="AH166" s="163"/>
      <c r="AI166" s="163"/>
      <c r="AJ166" s="163"/>
      <c r="AK166" s="163"/>
      <c r="AL166" s="163"/>
      <c r="AM166" s="163"/>
      <c r="AN166" s="239"/>
      <c r="AO166" s="239"/>
      <c r="AP166" s="242"/>
      <c r="AQ166" s="242"/>
      <c r="AR166" s="242"/>
      <c r="AS166" s="166">
        <f t="shared" si="14"/>
        <v>0</v>
      </c>
      <c r="AU166" s="30">
        <f t="shared" si="17"/>
        <v>0</v>
      </c>
      <c r="AV166" s="30">
        <f t="shared" si="17"/>
        <v>0</v>
      </c>
      <c r="AW166" s="30">
        <f t="shared" si="17"/>
        <v>0</v>
      </c>
      <c r="AX166" s="30">
        <f t="shared" si="17"/>
        <v>0</v>
      </c>
      <c r="AY166" s="30">
        <f t="shared" si="17"/>
        <v>0</v>
      </c>
      <c r="AZ166" s="30">
        <f t="shared" si="17"/>
        <v>0</v>
      </c>
      <c r="BA166" s="30">
        <f t="shared" si="17"/>
        <v>0</v>
      </c>
      <c r="BB166" s="39">
        <f t="shared" si="15"/>
        <v>0</v>
      </c>
    </row>
    <row r="167" spans="1:54">
      <c r="A167" s="168">
        <v>7001</v>
      </c>
      <c r="B167" s="2">
        <v>146858</v>
      </c>
      <c r="C167" s="2" t="s">
        <v>365</v>
      </c>
      <c r="E167" s="164">
        <v>743347.40357995487</v>
      </c>
      <c r="F167" s="164"/>
      <c r="G167" s="164">
        <v>179503.577873387</v>
      </c>
      <c r="H167" s="164">
        <v>126092.8</v>
      </c>
      <c r="I167" s="164">
        <v>4518.1499999999996</v>
      </c>
      <c r="J167" s="164">
        <v>6027.56</v>
      </c>
      <c r="K167" s="171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47"/>
      <c r="AG167" s="163"/>
      <c r="AH167" s="163"/>
      <c r="AI167" s="163"/>
      <c r="AJ167" s="163"/>
      <c r="AK167" s="163"/>
      <c r="AL167" s="163"/>
      <c r="AM167" s="163"/>
      <c r="AN167" s="239"/>
      <c r="AO167" s="239"/>
      <c r="AP167" s="242"/>
      <c r="AQ167" s="242"/>
      <c r="AR167" s="242"/>
      <c r="AS167" s="166">
        <f t="shared" si="14"/>
        <v>1059489.4914533419</v>
      </c>
      <c r="AU167" s="30">
        <f t="shared" si="17"/>
        <v>10545.71</v>
      </c>
      <c r="AV167" s="30">
        <f t="shared" si="17"/>
        <v>0</v>
      </c>
      <c r="AW167" s="30">
        <f t="shared" si="17"/>
        <v>1048943.7814533419</v>
      </c>
      <c r="AX167" s="30">
        <f t="shared" si="17"/>
        <v>0</v>
      </c>
      <c r="AY167" s="30">
        <f t="shared" si="17"/>
        <v>0</v>
      </c>
      <c r="AZ167" s="30">
        <f t="shared" si="17"/>
        <v>0</v>
      </c>
      <c r="BA167" s="30">
        <f t="shared" si="17"/>
        <v>0</v>
      </c>
      <c r="BB167" s="39">
        <f t="shared" si="15"/>
        <v>0</v>
      </c>
    </row>
    <row r="168" spans="1:54">
      <c r="A168" s="168">
        <v>3004</v>
      </c>
      <c r="B168" s="2">
        <v>143439</v>
      </c>
      <c r="C168" s="2" t="s">
        <v>366</v>
      </c>
      <c r="E168" s="164">
        <v>0</v>
      </c>
      <c r="F168" s="164"/>
      <c r="G168" s="164">
        <v>0</v>
      </c>
      <c r="H168" s="164">
        <v>0</v>
      </c>
      <c r="I168" s="164">
        <v>0</v>
      </c>
      <c r="J168" s="164">
        <v>0</v>
      </c>
      <c r="K168" s="171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47"/>
      <c r="AG168" s="163"/>
      <c r="AH168" s="163"/>
      <c r="AI168" s="163"/>
      <c r="AJ168" s="163"/>
      <c r="AK168" s="163"/>
      <c r="AL168" s="163"/>
      <c r="AM168" s="163"/>
      <c r="AN168" s="239"/>
      <c r="AO168" s="239"/>
      <c r="AP168" s="242"/>
      <c r="AQ168" s="242"/>
      <c r="AR168" s="242"/>
      <c r="AS168" s="166">
        <f t="shared" si="14"/>
        <v>0</v>
      </c>
      <c r="AU168" s="30">
        <f t="shared" si="17"/>
        <v>0</v>
      </c>
      <c r="AV168" s="30">
        <f t="shared" si="17"/>
        <v>0</v>
      </c>
      <c r="AW168" s="30">
        <f t="shared" si="17"/>
        <v>0</v>
      </c>
      <c r="AX168" s="30">
        <f t="shared" si="17"/>
        <v>0</v>
      </c>
      <c r="AY168" s="30">
        <f t="shared" si="17"/>
        <v>0</v>
      </c>
      <c r="AZ168" s="30">
        <f t="shared" si="17"/>
        <v>0</v>
      </c>
      <c r="BA168" s="30">
        <f t="shared" si="17"/>
        <v>0</v>
      </c>
      <c r="BB168" s="39">
        <f t="shared" ref="BB168:BB199" si="18">SUM(AU168:BA168)-AS168</f>
        <v>0</v>
      </c>
    </row>
    <row r="169" spans="1:54">
      <c r="A169" s="168">
        <v>1107</v>
      </c>
      <c r="B169" s="2">
        <v>139671</v>
      </c>
      <c r="C169" s="2" t="s">
        <v>367</v>
      </c>
      <c r="E169" s="164">
        <v>135764.14384828345</v>
      </c>
      <c r="F169" s="164"/>
      <c r="G169" s="164">
        <v>32784.334014375541</v>
      </c>
      <c r="H169" s="164">
        <v>22833.02</v>
      </c>
      <c r="I169" s="164">
        <v>835.73</v>
      </c>
      <c r="J169" s="164">
        <v>1114.93</v>
      </c>
      <c r="K169" s="171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47"/>
      <c r="AG169" s="163"/>
      <c r="AH169" s="163"/>
      <c r="AI169" s="163"/>
      <c r="AJ169" s="163"/>
      <c r="AK169" s="163"/>
      <c r="AL169" s="163"/>
      <c r="AM169" s="163"/>
      <c r="AN169" s="239"/>
      <c r="AO169" s="239"/>
      <c r="AP169" s="242"/>
      <c r="AQ169" s="242"/>
      <c r="AR169" s="242"/>
      <c r="AS169" s="166">
        <f t="shared" si="14"/>
        <v>193332.15786265899</v>
      </c>
      <c r="AU169" s="30">
        <f t="shared" si="17"/>
        <v>1950.66</v>
      </c>
      <c r="AV169" s="30">
        <f t="shared" si="17"/>
        <v>0</v>
      </c>
      <c r="AW169" s="30">
        <f t="shared" si="17"/>
        <v>191381.49786265899</v>
      </c>
      <c r="AX169" s="30">
        <f t="shared" si="17"/>
        <v>0</v>
      </c>
      <c r="AY169" s="30">
        <f t="shared" si="17"/>
        <v>0</v>
      </c>
      <c r="AZ169" s="30">
        <f t="shared" si="17"/>
        <v>0</v>
      </c>
      <c r="BA169" s="30">
        <f t="shared" si="17"/>
        <v>0</v>
      </c>
      <c r="BB169" s="39">
        <f t="shared" si="18"/>
        <v>0</v>
      </c>
    </row>
    <row r="170" spans="1:54">
      <c r="A170" s="168">
        <v>2080</v>
      </c>
      <c r="B170" s="2">
        <v>139002</v>
      </c>
      <c r="C170" s="2" t="s">
        <v>368</v>
      </c>
      <c r="E170" s="164">
        <v>0</v>
      </c>
      <c r="F170" s="164"/>
      <c r="G170" s="164">
        <v>0</v>
      </c>
      <c r="H170" s="164">
        <v>0</v>
      </c>
      <c r="I170" s="164">
        <v>0</v>
      </c>
      <c r="J170" s="164">
        <v>0</v>
      </c>
      <c r="K170" s="171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47"/>
      <c r="AG170" s="163"/>
      <c r="AH170" s="163"/>
      <c r="AI170" s="163"/>
      <c r="AJ170" s="163"/>
      <c r="AK170" s="163"/>
      <c r="AL170" s="163"/>
      <c r="AM170" s="163"/>
      <c r="AN170" s="239"/>
      <c r="AO170" s="239"/>
      <c r="AP170" s="242"/>
      <c r="AQ170" s="242"/>
      <c r="AR170" s="242"/>
      <c r="AS170" s="166">
        <f t="shared" si="14"/>
        <v>0</v>
      </c>
      <c r="AU170" s="30">
        <f t="shared" si="17"/>
        <v>0</v>
      </c>
      <c r="AV170" s="30">
        <f t="shared" si="17"/>
        <v>0</v>
      </c>
      <c r="AW170" s="30">
        <f t="shared" si="17"/>
        <v>0</v>
      </c>
      <c r="AX170" s="30">
        <f t="shared" si="17"/>
        <v>0</v>
      </c>
      <c r="AY170" s="30">
        <f t="shared" si="17"/>
        <v>0</v>
      </c>
      <c r="AZ170" s="30">
        <f t="shared" si="17"/>
        <v>0</v>
      </c>
      <c r="BA170" s="30">
        <f t="shared" si="17"/>
        <v>0</v>
      </c>
      <c r="BB170" s="39">
        <f t="shared" si="18"/>
        <v>0</v>
      </c>
    </row>
    <row r="171" spans="1:54">
      <c r="A171" s="168">
        <v>2460</v>
      </c>
      <c r="B171" s="2">
        <v>140262</v>
      </c>
      <c r="C171" s="2" t="s">
        <v>369</v>
      </c>
      <c r="E171" s="164">
        <v>0</v>
      </c>
      <c r="F171" s="164"/>
      <c r="G171" s="164">
        <v>0</v>
      </c>
      <c r="H171" s="164">
        <v>0</v>
      </c>
      <c r="I171" s="164">
        <v>0</v>
      </c>
      <c r="J171" s="164">
        <v>0</v>
      </c>
      <c r="K171" s="171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47"/>
      <c r="AG171" s="163"/>
      <c r="AH171" s="163"/>
      <c r="AI171" s="163"/>
      <c r="AJ171" s="163"/>
      <c r="AK171" s="163"/>
      <c r="AL171" s="163"/>
      <c r="AM171" s="163"/>
      <c r="AN171" s="239"/>
      <c r="AO171" s="239"/>
      <c r="AP171" s="242"/>
      <c r="AQ171" s="242"/>
      <c r="AR171" s="242"/>
      <c r="AS171" s="166">
        <f t="shared" si="14"/>
        <v>0</v>
      </c>
      <c r="AU171" s="30">
        <f t="shared" si="17"/>
        <v>0</v>
      </c>
      <c r="AV171" s="30">
        <f t="shared" si="17"/>
        <v>0</v>
      </c>
      <c r="AW171" s="30">
        <f t="shared" si="17"/>
        <v>0</v>
      </c>
      <c r="AX171" s="30">
        <f t="shared" si="17"/>
        <v>0</v>
      </c>
      <c r="AY171" s="30">
        <f t="shared" si="17"/>
        <v>0</v>
      </c>
      <c r="AZ171" s="30">
        <f t="shared" si="17"/>
        <v>0</v>
      </c>
      <c r="BA171" s="30">
        <f t="shared" si="17"/>
        <v>0</v>
      </c>
      <c r="BB171" s="39">
        <f t="shared" si="18"/>
        <v>0</v>
      </c>
    </row>
    <row r="172" spans="1:54">
      <c r="A172" s="168">
        <v>4323</v>
      </c>
      <c r="B172" s="2">
        <v>138059</v>
      </c>
      <c r="C172" s="2" t="s">
        <v>370</v>
      </c>
      <c r="E172" s="164">
        <v>0</v>
      </c>
      <c r="F172" s="164"/>
      <c r="G172" s="164">
        <v>0</v>
      </c>
      <c r="H172" s="164">
        <v>0</v>
      </c>
      <c r="I172" s="164">
        <v>0</v>
      </c>
      <c r="J172" s="164">
        <v>0</v>
      </c>
      <c r="K172" s="171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47"/>
      <c r="AG172" s="163"/>
      <c r="AH172" s="163"/>
      <c r="AI172" s="163"/>
      <c r="AJ172" s="163"/>
      <c r="AK172" s="163"/>
      <c r="AL172" s="163"/>
      <c r="AM172" s="163"/>
      <c r="AN172" s="239"/>
      <c r="AO172" s="239"/>
      <c r="AP172" s="242"/>
      <c r="AQ172" s="242"/>
      <c r="AR172" s="242"/>
      <c r="AS172" s="166">
        <f t="shared" si="14"/>
        <v>0</v>
      </c>
      <c r="AU172" s="30">
        <f t="shared" si="17"/>
        <v>0</v>
      </c>
      <c r="AV172" s="30">
        <f t="shared" si="17"/>
        <v>0</v>
      </c>
      <c r="AW172" s="30">
        <f t="shared" si="17"/>
        <v>0</v>
      </c>
      <c r="AX172" s="30">
        <f t="shared" si="17"/>
        <v>0</v>
      </c>
      <c r="AY172" s="30">
        <f t="shared" si="17"/>
        <v>0</v>
      </c>
      <c r="AZ172" s="30">
        <f t="shared" si="17"/>
        <v>0</v>
      </c>
      <c r="BA172" s="30">
        <f t="shared" si="17"/>
        <v>0</v>
      </c>
      <c r="BB172" s="39">
        <f t="shared" si="18"/>
        <v>0</v>
      </c>
    </row>
    <row r="173" spans="1:54">
      <c r="A173" s="168">
        <v>2481</v>
      </c>
      <c r="B173" s="2">
        <v>137168</v>
      </c>
      <c r="C173" s="2" t="s">
        <v>371</v>
      </c>
      <c r="E173" s="164">
        <v>0</v>
      </c>
      <c r="F173" s="164"/>
      <c r="G173" s="164">
        <v>0</v>
      </c>
      <c r="H173" s="164">
        <v>0</v>
      </c>
      <c r="I173" s="164">
        <v>0</v>
      </c>
      <c r="J173" s="164">
        <v>0</v>
      </c>
      <c r="K173" s="171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47"/>
      <c r="AG173" s="163"/>
      <c r="AH173" s="163"/>
      <c r="AI173" s="163"/>
      <c r="AJ173" s="163"/>
      <c r="AK173" s="163"/>
      <c r="AL173" s="163"/>
      <c r="AM173" s="163"/>
      <c r="AN173" s="239"/>
      <c r="AO173" s="239"/>
      <c r="AP173" s="242"/>
      <c r="AQ173" s="242"/>
      <c r="AR173" s="242"/>
      <c r="AS173" s="166">
        <f t="shared" si="14"/>
        <v>0</v>
      </c>
      <c r="AU173" s="30">
        <f t="shared" si="17"/>
        <v>0</v>
      </c>
      <c r="AV173" s="30">
        <f t="shared" si="17"/>
        <v>0</v>
      </c>
      <c r="AW173" s="30">
        <f t="shared" si="17"/>
        <v>0</v>
      </c>
      <c r="AX173" s="30">
        <f t="shared" si="17"/>
        <v>0</v>
      </c>
      <c r="AY173" s="30">
        <f t="shared" si="17"/>
        <v>0</v>
      </c>
      <c r="AZ173" s="30">
        <f t="shared" si="17"/>
        <v>0</v>
      </c>
      <c r="BA173" s="30">
        <f t="shared" si="17"/>
        <v>0</v>
      </c>
      <c r="BB173" s="39">
        <f t="shared" si="18"/>
        <v>0</v>
      </c>
    </row>
    <row r="174" spans="1:54">
      <c r="A174" s="168">
        <v>2202</v>
      </c>
      <c r="B174" s="2">
        <v>147109</v>
      </c>
      <c r="C174" s="2" t="s">
        <v>372</v>
      </c>
      <c r="E174" s="164">
        <v>0</v>
      </c>
      <c r="F174" s="164"/>
      <c r="G174" s="164">
        <v>0</v>
      </c>
      <c r="H174" s="164">
        <v>0</v>
      </c>
      <c r="I174" s="164">
        <v>0</v>
      </c>
      <c r="J174" s="164">
        <v>0</v>
      </c>
      <c r="K174" s="171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47"/>
      <c r="AG174" s="163"/>
      <c r="AH174" s="163"/>
      <c r="AI174" s="163"/>
      <c r="AJ174" s="163"/>
      <c r="AK174" s="163"/>
      <c r="AL174" s="163"/>
      <c r="AM174" s="163"/>
      <c r="AN174" s="239"/>
      <c r="AO174" s="239"/>
      <c r="AP174" s="242"/>
      <c r="AQ174" s="242"/>
      <c r="AR174" s="242"/>
      <c r="AS174" s="166">
        <f t="shared" si="14"/>
        <v>0</v>
      </c>
      <c r="AU174" s="30">
        <f t="shared" si="17"/>
        <v>0</v>
      </c>
      <c r="AV174" s="30">
        <f t="shared" si="17"/>
        <v>0</v>
      </c>
      <c r="AW174" s="30">
        <f t="shared" si="17"/>
        <v>0</v>
      </c>
      <c r="AX174" s="30">
        <f t="shared" si="17"/>
        <v>0</v>
      </c>
      <c r="AY174" s="30">
        <f t="shared" si="17"/>
        <v>0</v>
      </c>
      <c r="AZ174" s="30">
        <f t="shared" si="17"/>
        <v>0</v>
      </c>
      <c r="BA174" s="30">
        <f t="shared" si="17"/>
        <v>0</v>
      </c>
      <c r="BB174" s="39">
        <f t="shared" si="18"/>
        <v>0</v>
      </c>
    </row>
    <row r="175" spans="1:54">
      <c r="A175" s="168">
        <v>3302</v>
      </c>
      <c r="B175" s="2">
        <v>147478</v>
      </c>
      <c r="C175" s="2" t="s">
        <v>373</v>
      </c>
      <c r="E175" s="164">
        <v>0</v>
      </c>
      <c r="F175" s="164"/>
      <c r="G175" s="164">
        <v>0</v>
      </c>
      <c r="H175" s="164">
        <v>0</v>
      </c>
      <c r="I175" s="164">
        <v>0</v>
      </c>
      <c r="J175" s="164">
        <v>0</v>
      </c>
      <c r="K175" s="171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47"/>
      <c r="AG175" s="163"/>
      <c r="AH175" s="163"/>
      <c r="AI175" s="163"/>
      <c r="AJ175" s="163"/>
      <c r="AK175" s="163"/>
      <c r="AL175" s="163"/>
      <c r="AM175" s="163"/>
      <c r="AN175" s="239"/>
      <c r="AO175" s="239"/>
      <c r="AP175" s="242"/>
      <c r="AQ175" s="242"/>
      <c r="AR175" s="242"/>
      <c r="AS175" s="166">
        <f t="shared" si="14"/>
        <v>0</v>
      </c>
      <c r="AU175" s="30">
        <f t="shared" si="17"/>
        <v>0</v>
      </c>
      <c r="AV175" s="30">
        <f t="shared" si="17"/>
        <v>0</v>
      </c>
      <c r="AW175" s="30">
        <f t="shared" si="17"/>
        <v>0</v>
      </c>
      <c r="AX175" s="30">
        <f t="shared" si="17"/>
        <v>0</v>
      </c>
      <c r="AY175" s="30">
        <f t="shared" si="17"/>
        <v>0</v>
      </c>
      <c r="AZ175" s="30">
        <f t="shared" si="17"/>
        <v>0</v>
      </c>
      <c r="BA175" s="30">
        <f t="shared" si="17"/>
        <v>0</v>
      </c>
      <c r="BB175" s="39">
        <f t="shared" si="18"/>
        <v>0</v>
      </c>
    </row>
    <row r="176" spans="1:54">
      <c r="A176" s="168">
        <v>4018</v>
      </c>
      <c r="B176" s="2">
        <v>141668</v>
      </c>
      <c r="C176" s="2" t="s">
        <v>374</v>
      </c>
      <c r="E176" s="164">
        <v>0</v>
      </c>
      <c r="F176" s="164"/>
      <c r="G176" s="164">
        <v>0</v>
      </c>
      <c r="H176" s="164">
        <v>0</v>
      </c>
      <c r="I176" s="164">
        <v>0</v>
      </c>
      <c r="J176" s="164">
        <v>0</v>
      </c>
      <c r="K176" s="171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47"/>
      <c r="AG176" s="163"/>
      <c r="AH176" s="163"/>
      <c r="AI176" s="163"/>
      <c r="AJ176" s="163"/>
      <c r="AK176" s="163"/>
      <c r="AL176" s="163"/>
      <c r="AM176" s="163"/>
      <c r="AN176" s="239"/>
      <c r="AO176" s="239"/>
      <c r="AP176" s="242"/>
      <c r="AQ176" s="242"/>
      <c r="AR176" s="242"/>
      <c r="AS176" s="166">
        <f t="shared" si="14"/>
        <v>0</v>
      </c>
      <c r="AU176" s="30">
        <f t="shared" si="17"/>
        <v>0</v>
      </c>
      <c r="AV176" s="30">
        <f t="shared" si="17"/>
        <v>0</v>
      </c>
      <c r="AW176" s="30">
        <f t="shared" si="17"/>
        <v>0</v>
      </c>
      <c r="AX176" s="30">
        <f t="shared" si="17"/>
        <v>0</v>
      </c>
      <c r="AY176" s="30">
        <f t="shared" si="17"/>
        <v>0</v>
      </c>
      <c r="AZ176" s="30">
        <f t="shared" si="17"/>
        <v>0</v>
      </c>
      <c r="BA176" s="30">
        <f t="shared" si="17"/>
        <v>0</v>
      </c>
      <c r="BB176" s="39">
        <f t="shared" si="18"/>
        <v>0</v>
      </c>
    </row>
    <row r="177" spans="1:54">
      <c r="A177" s="168">
        <v>2037</v>
      </c>
      <c r="B177" s="2">
        <v>138590</v>
      </c>
      <c r="C177" s="2" t="s">
        <v>375</v>
      </c>
      <c r="E177" s="164">
        <v>0</v>
      </c>
      <c r="F177" s="164"/>
      <c r="G177" s="164">
        <v>0</v>
      </c>
      <c r="H177" s="164">
        <v>0</v>
      </c>
      <c r="I177" s="164">
        <v>0</v>
      </c>
      <c r="J177" s="164">
        <v>0</v>
      </c>
      <c r="K177" s="171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47"/>
      <c r="AG177" s="163"/>
      <c r="AH177" s="163"/>
      <c r="AI177" s="163"/>
      <c r="AJ177" s="163"/>
      <c r="AK177" s="163"/>
      <c r="AL177" s="163"/>
      <c r="AM177" s="163"/>
      <c r="AN177" s="239"/>
      <c r="AO177" s="239"/>
      <c r="AP177" s="242"/>
      <c r="AQ177" s="242"/>
      <c r="AR177" s="242"/>
      <c r="AS177" s="166">
        <f t="shared" si="14"/>
        <v>0</v>
      </c>
      <c r="AU177" s="30">
        <f t="shared" si="17"/>
        <v>0</v>
      </c>
      <c r="AV177" s="30">
        <f t="shared" si="17"/>
        <v>0</v>
      </c>
      <c r="AW177" s="30">
        <f t="shared" si="17"/>
        <v>0</v>
      </c>
      <c r="AX177" s="30">
        <f t="shared" si="17"/>
        <v>0</v>
      </c>
      <c r="AY177" s="30">
        <f t="shared" si="17"/>
        <v>0</v>
      </c>
      <c r="AZ177" s="30">
        <f t="shared" si="17"/>
        <v>0</v>
      </c>
      <c r="BA177" s="30">
        <f t="shared" si="17"/>
        <v>0</v>
      </c>
      <c r="BB177" s="39">
        <f t="shared" si="18"/>
        <v>0</v>
      </c>
    </row>
    <row r="178" spans="1:54">
      <c r="A178" s="168">
        <v>4025</v>
      </c>
      <c r="B178" s="2">
        <v>144464</v>
      </c>
      <c r="C178" s="2" t="s">
        <v>376</v>
      </c>
      <c r="E178" s="164">
        <v>0</v>
      </c>
      <c r="F178" s="164"/>
      <c r="G178" s="164">
        <v>0</v>
      </c>
      <c r="H178" s="164">
        <v>0</v>
      </c>
      <c r="I178" s="164">
        <v>0</v>
      </c>
      <c r="J178" s="164">
        <v>0</v>
      </c>
      <c r="K178" s="171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47"/>
      <c r="AG178" s="163"/>
      <c r="AH178" s="163"/>
      <c r="AI178" s="163"/>
      <c r="AJ178" s="163"/>
      <c r="AK178" s="163"/>
      <c r="AL178" s="163"/>
      <c r="AM178" s="163"/>
      <c r="AN178" s="239"/>
      <c r="AO178" s="239"/>
      <c r="AP178" s="242"/>
      <c r="AQ178" s="242"/>
      <c r="AR178" s="242"/>
      <c r="AS178" s="166">
        <f t="shared" si="14"/>
        <v>0</v>
      </c>
      <c r="AU178" s="30">
        <f t="shared" si="17"/>
        <v>0</v>
      </c>
      <c r="AV178" s="30">
        <f t="shared" si="17"/>
        <v>0</v>
      </c>
      <c r="AW178" s="30">
        <f t="shared" si="17"/>
        <v>0</v>
      </c>
      <c r="AX178" s="30">
        <f t="shared" si="17"/>
        <v>0</v>
      </c>
      <c r="AY178" s="30">
        <f t="shared" si="17"/>
        <v>0</v>
      </c>
      <c r="AZ178" s="30">
        <f t="shared" si="17"/>
        <v>0</v>
      </c>
      <c r="BA178" s="30">
        <f t="shared" si="17"/>
        <v>0</v>
      </c>
      <c r="BB178" s="39">
        <f t="shared" si="18"/>
        <v>0</v>
      </c>
    </row>
    <row r="179" spans="1:54">
      <c r="A179" s="168">
        <v>2181</v>
      </c>
      <c r="B179" s="2">
        <v>144722</v>
      </c>
      <c r="C179" s="2" t="s">
        <v>377</v>
      </c>
      <c r="E179" s="164">
        <v>0</v>
      </c>
      <c r="F179" s="164"/>
      <c r="G179" s="164">
        <v>0</v>
      </c>
      <c r="H179" s="164">
        <v>0</v>
      </c>
      <c r="I179" s="164">
        <v>0</v>
      </c>
      <c r="J179" s="164">
        <v>0</v>
      </c>
      <c r="K179" s="171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47"/>
      <c r="AG179" s="163"/>
      <c r="AH179" s="163"/>
      <c r="AI179" s="163"/>
      <c r="AJ179" s="163"/>
      <c r="AK179" s="163"/>
      <c r="AL179" s="163"/>
      <c r="AM179" s="163"/>
      <c r="AN179" s="239"/>
      <c r="AO179" s="239"/>
      <c r="AP179" s="242"/>
      <c r="AQ179" s="242"/>
      <c r="AR179" s="242"/>
      <c r="AS179" s="166">
        <f t="shared" si="14"/>
        <v>0</v>
      </c>
      <c r="AU179" s="30">
        <f t="shared" si="17"/>
        <v>0</v>
      </c>
      <c r="AV179" s="30">
        <f t="shared" si="17"/>
        <v>0</v>
      </c>
      <c r="AW179" s="30">
        <f t="shared" si="17"/>
        <v>0</v>
      </c>
      <c r="AX179" s="30">
        <f t="shared" si="17"/>
        <v>0</v>
      </c>
      <c r="AY179" s="30">
        <f t="shared" si="17"/>
        <v>0</v>
      </c>
      <c r="AZ179" s="30">
        <f t="shared" si="17"/>
        <v>0</v>
      </c>
      <c r="BA179" s="30">
        <f t="shared" si="17"/>
        <v>0</v>
      </c>
      <c r="BB179" s="39">
        <f t="shared" si="18"/>
        <v>0</v>
      </c>
    </row>
    <row r="180" spans="1:54">
      <c r="A180" s="168">
        <v>2187</v>
      </c>
      <c r="B180" s="2">
        <v>146268</v>
      </c>
      <c r="C180" s="2" t="s">
        <v>378</v>
      </c>
      <c r="E180" s="164">
        <v>0</v>
      </c>
      <c r="F180" s="164"/>
      <c r="G180" s="164">
        <v>0</v>
      </c>
      <c r="H180" s="164">
        <v>0</v>
      </c>
      <c r="I180" s="164">
        <v>0</v>
      </c>
      <c r="J180" s="164">
        <v>0</v>
      </c>
      <c r="K180" s="171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47"/>
      <c r="AG180" s="163"/>
      <c r="AH180" s="163"/>
      <c r="AI180" s="163"/>
      <c r="AJ180" s="163"/>
      <c r="AK180" s="163"/>
      <c r="AL180" s="163"/>
      <c r="AM180" s="163"/>
      <c r="AN180" s="239"/>
      <c r="AO180" s="239"/>
      <c r="AP180" s="242"/>
      <c r="AQ180" s="242"/>
      <c r="AR180" s="242"/>
      <c r="AS180" s="166">
        <f t="shared" si="14"/>
        <v>0</v>
      </c>
      <c r="AU180" s="30">
        <f t="shared" si="17"/>
        <v>0</v>
      </c>
      <c r="AV180" s="30">
        <f t="shared" si="17"/>
        <v>0</v>
      </c>
      <c r="AW180" s="30">
        <f t="shared" si="17"/>
        <v>0</v>
      </c>
      <c r="AX180" s="30">
        <f t="shared" si="17"/>
        <v>0</v>
      </c>
      <c r="AY180" s="30">
        <f t="shared" si="17"/>
        <v>0</v>
      </c>
      <c r="AZ180" s="30">
        <f t="shared" si="17"/>
        <v>0</v>
      </c>
      <c r="BA180" s="30">
        <f t="shared" si="17"/>
        <v>0</v>
      </c>
      <c r="BB180" s="39">
        <f t="shared" si="18"/>
        <v>0</v>
      </c>
    </row>
    <row r="181" spans="1:54">
      <c r="A181" s="168">
        <v>3362</v>
      </c>
      <c r="B181" s="2">
        <v>146298</v>
      </c>
      <c r="C181" s="2" t="s">
        <v>379</v>
      </c>
      <c r="E181" s="164">
        <v>0</v>
      </c>
      <c r="F181" s="164"/>
      <c r="G181" s="164">
        <v>0</v>
      </c>
      <c r="H181" s="164">
        <v>0</v>
      </c>
      <c r="I181" s="164">
        <v>0</v>
      </c>
      <c r="J181" s="164">
        <v>0</v>
      </c>
      <c r="K181" s="171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47"/>
      <c r="AG181" s="163"/>
      <c r="AH181" s="163"/>
      <c r="AI181" s="163"/>
      <c r="AJ181" s="163"/>
      <c r="AK181" s="163"/>
      <c r="AL181" s="163"/>
      <c r="AM181" s="163"/>
      <c r="AN181" s="239"/>
      <c r="AO181" s="239"/>
      <c r="AP181" s="242"/>
      <c r="AQ181" s="242"/>
      <c r="AR181" s="242"/>
      <c r="AS181" s="166">
        <f t="shared" si="14"/>
        <v>0</v>
      </c>
      <c r="AU181" s="30">
        <f t="shared" si="17"/>
        <v>0</v>
      </c>
      <c r="AV181" s="30">
        <f t="shared" si="17"/>
        <v>0</v>
      </c>
      <c r="AW181" s="30">
        <f t="shared" si="17"/>
        <v>0</v>
      </c>
      <c r="AX181" s="30">
        <f t="shared" si="17"/>
        <v>0</v>
      </c>
      <c r="AY181" s="30">
        <f t="shared" si="17"/>
        <v>0</v>
      </c>
      <c r="AZ181" s="30">
        <f t="shared" si="17"/>
        <v>0</v>
      </c>
      <c r="BA181" s="30">
        <f t="shared" si="17"/>
        <v>0</v>
      </c>
      <c r="BB181" s="39">
        <f t="shared" si="18"/>
        <v>0</v>
      </c>
    </row>
    <row r="182" spans="1:54">
      <c r="A182" s="168">
        <v>3330</v>
      </c>
      <c r="B182" s="2">
        <v>141815</v>
      </c>
      <c r="C182" s="2" t="s">
        <v>380</v>
      </c>
      <c r="E182" s="164">
        <v>0</v>
      </c>
      <c r="F182" s="164"/>
      <c r="G182" s="164">
        <v>0</v>
      </c>
      <c r="H182" s="164">
        <v>0</v>
      </c>
      <c r="I182" s="164">
        <v>0</v>
      </c>
      <c r="J182" s="164">
        <v>0</v>
      </c>
      <c r="K182" s="171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47"/>
      <c r="AG182" s="163"/>
      <c r="AH182" s="163"/>
      <c r="AI182" s="163"/>
      <c r="AJ182" s="163"/>
      <c r="AK182" s="163"/>
      <c r="AL182" s="163"/>
      <c r="AM182" s="163"/>
      <c r="AN182" s="239"/>
      <c r="AO182" s="239"/>
      <c r="AP182" s="242"/>
      <c r="AQ182" s="242"/>
      <c r="AR182" s="242"/>
      <c r="AS182" s="166">
        <f t="shared" si="14"/>
        <v>0</v>
      </c>
      <c r="AU182" s="30">
        <f t="shared" si="17"/>
        <v>0</v>
      </c>
      <c r="AV182" s="30">
        <f t="shared" si="17"/>
        <v>0</v>
      </c>
      <c r="AW182" s="30">
        <f t="shared" si="17"/>
        <v>0</v>
      </c>
      <c r="AX182" s="30">
        <f t="shared" si="17"/>
        <v>0</v>
      </c>
      <c r="AY182" s="30">
        <f t="shared" si="17"/>
        <v>0</v>
      </c>
      <c r="AZ182" s="30">
        <f t="shared" si="17"/>
        <v>0</v>
      </c>
      <c r="BA182" s="30">
        <f t="shared" si="17"/>
        <v>0</v>
      </c>
      <c r="BB182" s="39">
        <f t="shared" si="18"/>
        <v>0</v>
      </c>
    </row>
    <row r="183" spans="1:54">
      <c r="A183" s="168">
        <v>3337</v>
      </c>
      <c r="B183" s="2">
        <v>148440</v>
      </c>
      <c r="C183" s="2" t="s">
        <v>381</v>
      </c>
      <c r="E183" s="164">
        <v>0</v>
      </c>
      <c r="F183" s="164"/>
      <c r="G183" s="164">
        <v>0</v>
      </c>
      <c r="H183" s="164">
        <v>0</v>
      </c>
      <c r="I183" s="164">
        <v>0</v>
      </c>
      <c r="J183" s="164">
        <v>0</v>
      </c>
      <c r="K183" s="171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47"/>
      <c r="AG183" s="163"/>
      <c r="AH183" s="163"/>
      <c r="AI183" s="163"/>
      <c r="AJ183" s="163"/>
      <c r="AK183" s="163"/>
      <c r="AL183" s="163"/>
      <c r="AM183" s="163"/>
      <c r="AN183" s="239"/>
      <c r="AO183" s="239"/>
      <c r="AP183" s="242"/>
      <c r="AQ183" s="242"/>
      <c r="AR183" s="242"/>
      <c r="AS183" s="166">
        <f t="shared" si="14"/>
        <v>0</v>
      </c>
      <c r="AU183" s="30">
        <f t="shared" si="17"/>
        <v>0</v>
      </c>
      <c r="AV183" s="30">
        <f t="shared" si="17"/>
        <v>0</v>
      </c>
      <c r="AW183" s="30">
        <f t="shared" si="17"/>
        <v>0</v>
      </c>
      <c r="AX183" s="30">
        <f t="shared" si="17"/>
        <v>0</v>
      </c>
      <c r="AY183" s="30">
        <f t="shared" si="17"/>
        <v>0</v>
      </c>
      <c r="AZ183" s="30">
        <f t="shared" si="17"/>
        <v>0</v>
      </c>
      <c r="BA183" s="30">
        <f t="shared" si="17"/>
        <v>0</v>
      </c>
      <c r="BB183" s="39">
        <f t="shared" si="18"/>
        <v>0</v>
      </c>
    </row>
    <row r="184" spans="1:54">
      <c r="A184" s="168">
        <v>2059</v>
      </c>
      <c r="B184" s="2">
        <v>138432</v>
      </c>
      <c r="C184" s="2" t="s">
        <v>382</v>
      </c>
      <c r="E184" s="164">
        <v>0</v>
      </c>
      <c r="F184" s="164"/>
      <c r="G184" s="164">
        <v>0</v>
      </c>
      <c r="H184" s="164">
        <v>0</v>
      </c>
      <c r="I184" s="164">
        <v>0</v>
      </c>
      <c r="J184" s="164">
        <v>0</v>
      </c>
      <c r="K184" s="171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47"/>
      <c r="AG184" s="163"/>
      <c r="AH184" s="163"/>
      <c r="AI184" s="163"/>
      <c r="AJ184" s="163"/>
      <c r="AK184" s="163"/>
      <c r="AL184" s="163"/>
      <c r="AM184" s="163"/>
      <c r="AN184" s="239"/>
      <c r="AO184" s="239"/>
      <c r="AP184" s="242"/>
      <c r="AQ184" s="242"/>
      <c r="AR184" s="242"/>
      <c r="AS184" s="166">
        <f t="shared" si="14"/>
        <v>0</v>
      </c>
      <c r="AU184" s="30">
        <f t="shared" si="17"/>
        <v>0</v>
      </c>
      <c r="AV184" s="30">
        <f t="shared" si="17"/>
        <v>0</v>
      </c>
      <c r="AW184" s="30">
        <f t="shared" si="17"/>
        <v>0</v>
      </c>
      <c r="AX184" s="30">
        <f t="shared" si="17"/>
        <v>0</v>
      </c>
      <c r="AY184" s="30">
        <f t="shared" si="17"/>
        <v>0</v>
      </c>
      <c r="AZ184" s="30">
        <f t="shared" si="17"/>
        <v>0</v>
      </c>
      <c r="BA184" s="30">
        <f t="shared" si="17"/>
        <v>0</v>
      </c>
      <c r="BB184" s="39">
        <f t="shared" si="18"/>
        <v>0</v>
      </c>
    </row>
    <row r="185" spans="1:54">
      <c r="A185" s="168">
        <v>2154</v>
      </c>
      <c r="B185" s="2">
        <v>141669</v>
      </c>
      <c r="C185" s="2" t="s">
        <v>383</v>
      </c>
      <c r="E185" s="164">
        <v>0</v>
      </c>
      <c r="F185" s="164"/>
      <c r="G185" s="164">
        <v>0</v>
      </c>
      <c r="H185" s="164">
        <v>0</v>
      </c>
      <c r="I185" s="164">
        <v>0</v>
      </c>
      <c r="J185" s="164">
        <v>0</v>
      </c>
      <c r="K185" s="171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47"/>
      <c r="AG185" s="163"/>
      <c r="AH185" s="163"/>
      <c r="AI185" s="163"/>
      <c r="AJ185" s="163"/>
      <c r="AK185" s="163"/>
      <c r="AL185" s="163"/>
      <c r="AM185" s="163"/>
      <c r="AN185" s="239"/>
      <c r="AO185" s="239"/>
      <c r="AP185" s="242"/>
      <c r="AQ185" s="242"/>
      <c r="AR185" s="242"/>
      <c r="AS185" s="166">
        <f t="shared" si="14"/>
        <v>0</v>
      </c>
      <c r="AU185" s="30">
        <f t="shared" si="17"/>
        <v>0</v>
      </c>
      <c r="AV185" s="30">
        <f t="shared" si="17"/>
        <v>0</v>
      </c>
      <c r="AW185" s="30">
        <f t="shared" si="17"/>
        <v>0</v>
      </c>
      <c r="AX185" s="30">
        <f t="shared" si="17"/>
        <v>0</v>
      </c>
      <c r="AY185" s="30">
        <f t="shared" si="17"/>
        <v>0</v>
      </c>
      <c r="AZ185" s="30">
        <f t="shared" si="17"/>
        <v>0</v>
      </c>
      <c r="BA185" s="30">
        <f t="shared" si="17"/>
        <v>0</v>
      </c>
      <c r="BB185" s="39">
        <f t="shared" si="18"/>
        <v>0</v>
      </c>
    </row>
    <row r="186" spans="1:54">
      <c r="A186" s="168">
        <v>4663</v>
      </c>
      <c r="B186" s="2">
        <v>147707</v>
      </c>
      <c r="C186" s="2" t="s">
        <v>384</v>
      </c>
      <c r="E186" s="164">
        <v>0</v>
      </c>
      <c r="F186" s="164"/>
      <c r="G186" s="164">
        <v>0</v>
      </c>
      <c r="H186" s="164">
        <v>0</v>
      </c>
      <c r="I186" s="164">
        <v>0</v>
      </c>
      <c r="J186" s="164">
        <v>0</v>
      </c>
      <c r="K186" s="171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47"/>
      <c r="AG186" s="163"/>
      <c r="AH186" s="163"/>
      <c r="AI186" s="163"/>
      <c r="AJ186" s="163"/>
      <c r="AK186" s="163"/>
      <c r="AL186" s="163"/>
      <c r="AM186" s="163"/>
      <c r="AN186" s="239"/>
      <c r="AO186" s="239"/>
      <c r="AP186" s="242"/>
      <c r="AQ186" s="242"/>
      <c r="AR186" s="242"/>
      <c r="AS186" s="166">
        <f t="shared" si="14"/>
        <v>0</v>
      </c>
      <c r="AU186" s="30">
        <f t="shared" si="17"/>
        <v>0</v>
      </c>
      <c r="AV186" s="30">
        <f t="shared" si="17"/>
        <v>0</v>
      </c>
      <c r="AW186" s="30">
        <f t="shared" si="17"/>
        <v>0</v>
      </c>
      <c r="AX186" s="30">
        <f t="shared" si="17"/>
        <v>0</v>
      </c>
      <c r="AY186" s="30">
        <f t="shared" si="17"/>
        <v>0</v>
      </c>
      <c r="AZ186" s="30">
        <f t="shared" si="17"/>
        <v>0</v>
      </c>
      <c r="BA186" s="30">
        <f t="shared" si="17"/>
        <v>0</v>
      </c>
      <c r="BB186" s="39">
        <f t="shared" si="18"/>
        <v>0</v>
      </c>
    </row>
    <row r="187" spans="1:54">
      <c r="A187" s="168">
        <v>5205</v>
      </c>
      <c r="B187" s="2">
        <v>143434</v>
      </c>
      <c r="C187" s="2" t="s">
        <v>385</v>
      </c>
      <c r="E187" s="164">
        <v>0</v>
      </c>
      <c r="F187" s="164"/>
      <c r="G187" s="164">
        <v>0</v>
      </c>
      <c r="H187" s="164">
        <v>0</v>
      </c>
      <c r="I187" s="164">
        <v>0</v>
      </c>
      <c r="J187" s="164">
        <v>0</v>
      </c>
      <c r="K187" s="171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47"/>
      <c r="AG187" s="163"/>
      <c r="AH187" s="163"/>
      <c r="AI187" s="163"/>
      <c r="AJ187" s="163"/>
      <c r="AK187" s="163"/>
      <c r="AL187" s="163"/>
      <c r="AM187" s="163"/>
      <c r="AN187" s="239"/>
      <c r="AO187" s="239"/>
      <c r="AP187" s="242"/>
      <c r="AQ187" s="242"/>
      <c r="AR187" s="242"/>
      <c r="AS187" s="166">
        <f t="shared" si="14"/>
        <v>0</v>
      </c>
      <c r="AU187" s="30">
        <f t="shared" si="17"/>
        <v>0</v>
      </c>
      <c r="AV187" s="30">
        <f t="shared" si="17"/>
        <v>0</v>
      </c>
      <c r="AW187" s="30">
        <f t="shared" si="17"/>
        <v>0</v>
      </c>
      <c r="AX187" s="30">
        <f t="shared" si="17"/>
        <v>0</v>
      </c>
      <c r="AY187" s="30">
        <f t="shared" si="17"/>
        <v>0</v>
      </c>
      <c r="AZ187" s="30">
        <f t="shared" si="17"/>
        <v>0</v>
      </c>
      <c r="BA187" s="30">
        <f t="shared" si="17"/>
        <v>0</v>
      </c>
      <c r="BB187" s="39">
        <f t="shared" si="18"/>
        <v>0</v>
      </c>
    </row>
    <row r="188" spans="1:54">
      <c r="A188" s="168">
        <v>2104</v>
      </c>
      <c r="B188" s="2">
        <v>139126</v>
      </c>
      <c r="C188" s="2" t="s">
        <v>386</v>
      </c>
      <c r="E188" s="164">
        <v>0</v>
      </c>
      <c r="F188" s="164"/>
      <c r="G188" s="164">
        <v>0</v>
      </c>
      <c r="H188" s="164">
        <v>0</v>
      </c>
      <c r="I188" s="164">
        <v>0</v>
      </c>
      <c r="J188" s="164">
        <v>0</v>
      </c>
      <c r="K188" s="171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47"/>
      <c r="AG188" s="163"/>
      <c r="AH188" s="163"/>
      <c r="AI188" s="163"/>
      <c r="AJ188" s="163"/>
      <c r="AK188" s="163"/>
      <c r="AL188" s="163"/>
      <c r="AM188" s="163"/>
      <c r="AN188" s="239"/>
      <c r="AO188" s="239"/>
      <c r="AP188" s="242"/>
      <c r="AQ188" s="242"/>
      <c r="AR188" s="242"/>
      <c r="AS188" s="166">
        <f t="shared" si="14"/>
        <v>0</v>
      </c>
      <c r="AU188" s="30">
        <f t="shared" si="17"/>
        <v>0</v>
      </c>
      <c r="AV188" s="30">
        <f t="shared" si="17"/>
        <v>0</v>
      </c>
      <c r="AW188" s="30">
        <f t="shared" si="17"/>
        <v>0</v>
      </c>
      <c r="AX188" s="30">
        <f t="shared" si="17"/>
        <v>0</v>
      </c>
      <c r="AY188" s="30">
        <f t="shared" si="17"/>
        <v>0</v>
      </c>
      <c r="AZ188" s="30">
        <f t="shared" si="17"/>
        <v>0</v>
      </c>
      <c r="BA188" s="30">
        <f t="shared" si="17"/>
        <v>0</v>
      </c>
      <c r="BB188" s="39">
        <f t="shared" si="18"/>
        <v>0</v>
      </c>
    </row>
    <row r="189" spans="1:54">
      <c r="A189" s="168">
        <v>2120</v>
      </c>
      <c r="B189" s="2">
        <v>139267</v>
      </c>
      <c r="C189" s="2" t="s">
        <v>387</v>
      </c>
      <c r="E189" s="164">
        <v>0</v>
      </c>
      <c r="F189" s="164"/>
      <c r="G189" s="164">
        <v>0</v>
      </c>
      <c r="H189" s="164">
        <v>0</v>
      </c>
      <c r="I189" s="164">
        <v>0</v>
      </c>
      <c r="J189" s="164">
        <v>0</v>
      </c>
      <c r="K189" s="171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47"/>
      <c r="AG189" s="163"/>
      <c r="AH189" s="163"/>
      <c r="AI189" s="163"/>
      <c r="AJ189" s="163"/>
      <c r="AK189" s="163"/>
      <c r="AL189" s="163"/>
      <c r="AM189" s="163"/>
      <c r="AN189" s="239"/>
      <c r="AO189" s="239"/>
      <c r="AP189" s="242"/>
      <c r="AQ189" s="242"/>
      <c r="AR189" s="242"/>
      <c r="AS189" s="166">
        <f t="shared" si="14"/>
        <v>0</v>
      </c>
      <c r="AU189" s="30">
        <f t="shared" ref="AU189:BA208" si="19">SUMIF($E$3:$AR$3,AU$6,$E189:$AR189)</f>
        <v>0</v>
      </c>
      <c r="AV189" s="30">
        <f t="shared" si="19"/>
        <v>0</v>
      </c>
      <c r="AW189" s="30">
        <f t="shared" si="19"/>
        <v>0</v>
      </c>
      <c r="AX189" s="30">
        <f t="shared" si="19"/>
        <v>0</v>
      </c>
      <c r="AY189" s="30">
        <f t="shared" si="19"/>
        <v>0</v>
      </c>
      <c r="AZ189" s="30">
        <f t="shared" si="19"/>
        <v>0</v>
      </c>
      <c r="BA189" s="30">
        <f t="shared" si="19"/>
        <v>0</v>
      </c>
      <c r="BB189" s="39">
        <f t="shared" si="18"/>
        <v>0</v>
      </c>
    </row>
    <row r="190" spans="1:54">
      <c r="A190" s="168">
        <v>3358</v>
      </c>
      <c r="B190" s="2">
        <v>141820</v>
      </c>
      <c r="C190" s="2" t="s">
        <v>388</v>
      </c>
      <c r="E190" s="164">
        <v>0</v>
      </c>
      <c r="F190" s="164"/>
      <c r="G190" s="164">
        <v>0</v>
      </c>
      <c r="H190" s="164">
        <v>0</v>
      </c>
      <c r="I190" s="164">
        <v>0</v>
      </c>
      <c r="J190" s="164">
        <v>0</v>
      </c>
      <c r="K190" s="171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47"/>
      <c r="AG190" s="163"/>
      <c r="AH190" s="163"/>
      <c r="AI190" s="163"/>
      <c r="AJ190" s="163"/>
      <c r="AK190" s="163"/>
      <c r="AL190" s="163"/>
      <c r="AM190" s="163"/>
      <c r="AN190" s="239"/>
      <c r="AO190" s="239"/>
      <c r="AP190" s="242"/>
      <c r="AQ190" s="242"/>
      <c r="AR190" s="242"/>
      <c r="AS190" s="166">
        <f t="shared" si="14"/>
        <v>0</v>
      </c>
      <c r="AU190" s="30">
        <f t="shared" si="19"/>
        <v>0</v>
      </c>
      <c r="AV190" s="30">
        <f t="shared" si="19"/>
        <v>0</v>
      </c>
      <c r="AW190" s="30">
        <f t="shared" si="19"/>
        <v>0</v>
      </c>
      <c r="AX190" s="30">
        <f t="shared" si="19"/>
        <v>0</v>
      </c>
      <c r="AY190" s="30">
        <f t="shared" si="19"/>
        <v>0</v>
      </c>
      <c r="AZ190" s="30">
        <f t="shared" si="19"/>
        <v>0</v>
      </c>
      <c r="BA190" s="30">
        <f t="shared" si="19"/>
        <v>0</v>
      </c>
      <c r="BB190" s="39">
        <f t="shared" si="18"/>
        <v>0</v>
      </c>
    </row>
    <row r="191" spans="1:54">
      <c r="A191" s="168">
        <v>3360</v>
      </c>
      <c r="B191" s="2">
        <v>148266</v>
      </c>
      <c r="C191" s="2" t="s">
        <v>389</v>
      </c>
      <c r="E191" s="164">
        <v>0</v>
      </c>
      <c r="F191" s="164"/>
      <c r="G191" s="164">
        <v>0</v>
      </c>
      <c r="H191" s="164">
        <v>0</v>
      </c>
      <c r="I191" s="164">
        <v>0</v>
      </c>
      <c r="J191" s="164">
        <v>0</v>
      </c>
      <c r="K191" s="171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47"/>
      <c r="AG191" s="163"/>
      <c r="AH191" s="163"/>
      <c r="AI191" s="163"/>
      <c r="AJ191" s="163"/>
      <c r="AK191" s="163"/>
      <c r="AL191" s="163"/>
      <c r="AM191" s="163"/>
      <c r="AN191" s="239"/>
      <c r="AO191" s="239"/>
      <c r="AP191" s="242"/>
      <c r="AQ191" s="242"/>
      <c r="AR191" s="242"/>
      <c r="AS191" s="166">
        <f t="shared" si="14"/>
        <v>0</v>
      </c>
      <c r="AU191" s="30">
        <f t="shared" si="19"/>
        <v>0</v>
      </c>
      <c r="AV191" s="30">
        <f t="shared" si="19"/>
        <v>0</v>
      </c>
      <c r="AW191" s="30">
        <f t="shared" si="19"/>
        <v>0</v>
      </c>
      <c r="AX191" s="30">
        <f t="shared" si="19"/>
        <v>0</v>
      </c>
      <c r="AY191" s="30">
        <f t="shared" si="19"/>
        <v>0</v>
      </c>
      <c r="AZ191" s="30">
        <f t="shared" si="19"/>
        <v>0</v>
      </c>
      <c r="BA191" s="30">
        <f t="shared" si="19"/>
        <v>0</v>
      </c>
      <c r="BB191" s="39">
        <f t="shared" si="18"/>
        <v>0</v>
      </c>
    </row>
    <row r="192" spans="1:54">
      <c r="A192" s="168">
        <v>2071</v>
      </c>
      <c r="B192" s="2">
        <v>138883</v>
      </c>
      <c r="C192" s="2" t="s">
        <v>390</v>
      </c>
      <c r="E192" s="164">
        <v>0</v>
      </c>
      <c r="F192" s="164"/>
      <c r="G192" s="164">
        <v>0</v>
      </c>
      <c r="H192" s="164">
        <v>0</v>
      </c>
      <c r="I192" s="164">
        <v>0</v>
      </c>
      <c r="J192" s="164">
        <v>0</v>
      </c>
      <c r="K192" s="171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47"/>
      <c r="AG192" s="163"/>
      <c r="AH192" s="163"/>
      <c r="AI192" s="163"/>
      <c r="AJ192" s="163"/>
      <c r="AK192" s="163"/>
      <c r="AL192" s="163"/>
      <c r="AM192" s="163"/>
      <c r="AN192" s="239"/>
      <c r="AO192" s="239"/>
      <c r="AP192" s="242"/>
      <c r="AQ192" s="242"/>
      <c r="AR192" s="242"/>
      <c r="AS192" s="166">
        <f t="shared" si="14"/>
        <v>0</v>
      </c>
      <c r="AU192" s="30">
        <f t="shared" si="19"/>
        <v>0</v>
      </c>
      <c r="AV192" s="30">
        <f t="shared" si="19"/>
        <v>0</v>
      </c>
      <c r="AW192" s="30">
        <f t="shared" si="19"/>
        <v>0</v>
      </c>
      <c r="AX192" s="30">
        <f t="shared" si="19"/>
        <v>0</v>
      </c>
      <c r="AY192" s="30">
        <f t="shared" si="19"/>
        <v>0</v>
      </c>
      <c r="AZ192" s="30">
        <f t="shared" si="19"/>
        <v>0</v>
      </c>
      <c r="BA192" s="30">
        <f t="shared" si="19"/>
        <v>0</v>
      </c>
      <c r="BB192" s="39">
        <f t="shared" si="18"/>
        <v>0</v>
      </c>
    </row>
    <row r="193" spans="1:54">
      <c r="A193" s="168">
        <v>3306</v>
      </c>
      <c r="B193" s="2">
        <v>139173</v>
      </c>
      <c r="C193" s="2" t="s">
        <v>391</v>
      </c>
      <c r="E193" s="164">
        <v>0</v>
      </c>
      <c r="F193" s="164"/>
      <c r="G193" s="164">
        <v>0</v>
      </c>
      <c r="H193" s="164">
        <v>0</v>
      </c>
      <c r="I193" s="164">
        <v>0</v>
      </c>
      <c r="J193" s="164">
        <v>0</v>
      </c>
      <c r="K193" s="171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47"/>
      <c r="AG193" s="163"/>
      <c r="AH193" s="163"/>
      <c r="AI193" s="163"/>
      <c r="AJ193" s="163"/>
      <c r="AK193" s="163"/>
      <c r="AL193" s="163"/>
      <c r="AM193" s="163"/>
      <c r="AN193" s="239"/>
      <c r="AO193" s="239"/>
      <c r="AP193" s="242"/>
      <c r="AQ193" s="242"/>
      <c r="AR193" s="242"/>
      <c r="AS193" s="166">
        <f t="shared" si="14"/>
        <v>0</v>
      </c>
      <c r="AU193" s="30">
        <f t="shared" si="19"/>
        <v>0</v>
      </c>
      <c r="AV193" s="30">
        <f t="shared" si="19"/>
        <v>0</v>
      </c>
      <c r="AW193" s="30">
        <f t="shared" si="19"/>
        <v>0</v>
      </c>
      <c r="AX193" s="30">
        <f t="shared" si="19"/>
        <v>0</v>
      </c>
      <c r="AY193" s="30">
        <f t="shared" si="19"/>
        <v>0</v>
      </c>
      <c r="AZ193" s="30">
        <f t="shared" si="19"/>
        <v>0</v>
      </c>
      <c r="BA193" s="30">
        <f t="shared" si="19"/>
        <v>0</v>
      </c>
      <c r="BB193" s="39">
        <f t="shared" si="18"/>
        <v>0</v>
      </c>
    </row>
    <row r="194" spans="1:54">
      <c r="A194" s="168">
        <v>2158</v>
      </c>
      <c r="B194" s="2">
        <v>141670</v>
      </c>
      <c r="C194" s="2" t="s">
        <v>392</v>
      </c>
      <c r="E194" s="164">
        <v>0</v>
      </c>
      <c r="F194" s="164"/>
      <c r="G194" s="164">
        <v>0</v>
      </c>
      <c r="H194" s="164">
        <v>0</v>
      </c>
      <c r="I194" s="164">
        <v>0</v>
      </c>
      <c r="J194" s="164">
        <v>0</v>
      </c>
      <c r="K194" s="171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47"/>
      <c r="AG194" s="163"/>
      <c r="AH194" s="163"/>
      <c r="AI194" s="163"/>
      <c r="AJ194" s="163"/>
      <c r="AK194" s="163"/>
      <c r="AL194" s="163"/>
      <c r="AM194" s="163"/>
      <c r="AN194" s="239"/>
      <c r="AO194" s="239"/>
      <c r="AP194" s="242"/>
      <c r="AQ194" s="242"/>
      <c r="AR194" s="242"/>
      <c r="AS194" s="166">
        <f t="shared" si="14"/>
        <v>0</v>
      </c>
      <c r="AU194" s="30">
        <f t="shared" si="19"/>
        <v>0</v>
      </c>
      <c r="AV194" s="30">
        <f t="shared" si="19"/>
        <v>0</v>
      </c>
      <c r="AW194" s="30">
        <f t="shared" si="19"/>
        <v>0</v>
      </c>
      <c r="AX194" s="30">
        <f t="shared" si="19"/>
        <v>0</v>
      </c>
      <c r="AY194" s="30">
        <f t="shared" si="19"/>
        <v>0</v>
      </c>
      <c r="AZ194" s="30">
        <f t="shared" si="19"/>
        <v>0</v>
      </c>
      <c r="BA194" s="30">
        <f t="shared" si="19"/>
        <v>0</v>
      </c>
      <c r="BB194" s="39">
        <f t="shared" si="18"/>
        <v>0</v>
      </c>
    </row>
    <row r="195" spans="1:54">
      <c r="A195" s="168">
        <v>3339</v>
      </c>
      <c r="B195" s="2">
        <v>148441</v>
      </c>
      <c r="C195" s="2" t="s">
        <v>393</v>
      </c>
      <c r="E195" s="164">
        <v>0</v>
      </c>
      <c r="F195" s="164"/>
      <c r="G195" s="164">
        <v>0</v>
      </c>
      <c r="H195" s="164">
        <v>0</v>
      </c>
      <c r="I195" s="164">
        <v>0</v>
      </c>
      <c r="J195" s="164">
        <v>0</v>
      </c>
      <c r="K195" s="171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47"/>
      <c r="AG195" s="163"/>
      <c r="AH195" s="163"/>
      <c r="AI195" s="163"/>
      <c r="AJ195" s="163"/>
      <c r="AK195" s="163"/>
      <c r="AL195" s="163"/>
      <c r="AM195" s="163"/>
      <c r="AN195" s="239"/>
      <c r="AO195" s="239"/>
      <c r="AP195" s="242"/>
      <c r="AQ195" s="242"/>
      <c r="AR195" s="242"/>
      <c r="AS195" s="166">
        <f t="shared" si="14"/>
        <v>0</v>
      </c>
      <c r="AU195" s="30">
        <f t="shared" si="19"/>
        <v>0</v>
      </c>
      <c r="AV195" s="30">
        <f t="shared" si="19"/>
        <v>0</v>
      </c>
      <c r="AW195" s="30">
        <f t="shared" si="19"/>
        <v>0</v>
      </c>
      <c r="AX195" s="30">
        <f t="shared" si="19"/>
        <v>0</v>
      </c>
      <c r="AY195" s="30">
        <f t="shared" si="19"/>
        <v>0</v>
      </c>
      <c r="AZ195" s="30">
        <f t="shared" si="19"/>
        <v>0</v>
      </c>
      <c r="BA195" s="30">
        <f t="shared" si="19"/>
        <v>0</v>
      </c>
      <c r="BB195" s="39">
        <f t="shared" si="18"/>
        <v>0</v>
      </c>
    </row>
    <row r="196" spans="1:54">
      <c r="A196" s="168">
        <v>3401</v>
      </c>
      <c r="B196" s="2">
        <v>140528</v>
      </c>
      <c r="C196" s="2" t="s">
        <v>394</v>
      </c>
      <c r="E196" s="164">
        <v>0</v>
      </c>
      <c r="F196" s="164"/>
      <c r="G196" s="164">
        <v>0</v>
      </c>
      <c r="H196" s="164">
        <v>0</v>
      </c>
      <c r="I196" s="164">
        <v>0</v>
      </c>
      <c r="J196" s="164">
        <v>0</v>
      </c>
      <c r="K196" s="171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47"/>
      <c r="AG196" s="163"/>
      <c r="AH196" s="163"/>
      <c r="AI196" s="163"/>
      <c r="AJ196" s="163"/>
      <c r="AK196" s="163"/>
      <c r="AL196" s="163"/>
      <c r="AM196" s="163"/>
      <c r="AN196" s="239"/>
      <c r="AO196" s="239"/>
      <c r="AP196" s="242"/>
      <c r="AQ196" s="242"/>
      <c r="AR196" s="242"/>
      <c r="AS196" s="166">
        <f t="shared" si="14"/>
        <v>0</v>
      </c>
      <c r="AU196" s="30">
        <f t="shared" si="19"/>
        <v>0</v>
      </c>
      <c r="AV196" s="30">
        <f t="shared" si="19"/>
        <v>0</v>
      </c>
      <c r="AW196" s="30">
        <f t="shared" si="19"/>
        <v>0</v>
      </c>
      <c r="AX196" s="30">
        <f t="shared" si="19"/>
        <v>0</v>
      </c>
      <c r="AY196" s="30">
        <f t="shared" si="19"/>
        <v>0</v>
      </c>
      <c r="AZ196" s="30">
        <f t="shared" si="19"/>
        <v>0</v>
      </c>
      <c r="BA196" s="30">
        <f t="shared" si="19"/>
        <v>0</v>
      </c>
      <c r="BB196" s="39">
        <f t="shared" si="18"/>
        <v>0</v>
      </c>
    </row>
    <row r="197" spans="1:54">
      <c r="A197" s="168">
        <v>3383</v>
      </c>
      <c r="B197" s="2">
        <v>148973</v>
      </c>
      <c r="C197" s="2" t="s">
        <v>395</v>
      </c>
      <c r="E197" s="164">
        <v>0</v>
      </c>
      <c r="F197" s="164"/>
      <c r="G197" s="164">
        <v>0</v>
      </c>
      <c r="H197" s="164">
        <v>0</v>
      </c>
      <c r="I197" s="164">
        <v>0</v>
      </c>
      <c r="J197" s="164">
        <v>0</v>
      </c>
      <c r="K197" s="171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47"/>
      <c r="AG197" s="163"/>
      <c r="AH197" s="163"/>
      <c r="AI197" s="163"/>
      <c r="AJ197" s="163"/>
      <c r="AK197" s="163"/>
      <c r="AL197" s="163"/>
      <c r="AM197" s="163"/>
      <c r="AN197" s="239"/>
      <c r="AO197" s="239"/>
      <c r="AP197" s="242"/>
      <c r="AQ197" s="242"/>
      <c r="AR197" s="242"/>
      <c r="AS197" s="166">
        <f t="shared" si="14"/>
        <v>0</v>
      </c>
      <c r="AU197" s="30">
        <f t="shared" si="19"/>
        <v>0</v>
      </c>
      <c r="AV197" s="30">
        <f t="shared" si="19"/>
        <v>0</v>
      </c>
      <c r="AW197" s="30">
        <f t="shared" si="19"/>
        <v>0</v>
      </c>
      <c r="AX197" s="30">
        <f t="shared" si="19"/>
        <v>0</v>
      </c>
      <c r="AY197" s="30">
        <f t="shared" si="19"/>
        <v>0</v>
      </c>
      <c r="AZ197" s="30">
        <f t="shared" si="19"/>
        <v>0</v>
      </c>
      <c r="BA197" s="30">
        <f t="shared" si="19"/>
        <v>0</v>
      </c>
      <c r="BB197" s="39">
        <f t="shared" si="18"/>
        <v>0</v>
      </c>
    </row>
    <row r="198" spans="1:54">
      <c r="A198" s="168">
        <v>3015</v>
      </c>
      <c r="B198" s="2">
        <v>139041</v>
      </c>
      <c r="C198" s="2" t="s">
        <v>396</v>
      </c>
      <c r="E198" s="164">
        <v>0</v>
      </c>
      <c r="F198" s="164"/>
      <c r="G198" s="164">
        <v>0</v>
      </c>
      <c r="H198" s="164">
        <v>0</v>
      </c>
      <c r="I198" s="164">
        <v>0</v>
      </c>
      <c r="J198" s="164">
        <v>0</v>
      </c>
      <c r="K198" s="171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47"/>
      <c r="AG198" s="163"/>
      <c r="AH198" s="163"/>
      <c r="AI198" s="163"/>
      <c r="AJ198" s="163"/>
      <c r="AK198" s="163"/>
      <c r="AL198" s="163"/>
      <c r="AM198" s="163"/>
      <c r="AN198" s="239"/>
      <c r="AO198" s="239"/>
      <c r="AP198" s="242"/>
      <c r="AQ198" s="242"/>
      <c r="AR198" s="242"/>
      <c r="AS198" s="166">
        <f t="shared" si="14"/>
        <v>0</v>
      </c>
      <c r="AU198" s="30">
        <f t="shared" si="19"/>
        <v>0</v>
      </c>
      <c r="AV198" s="30">
        <f t="shared" si="19"/>
        <v>0</v>
      </c>
      <c r="AW198" s="30">
        <f t="shared" si="19"/>
        <v>0</v>
      </c>
      <c r="AX198" s="30">
        <f t="shared" si="19"/>
        <v>0</v>
      </c>
      <c r="AY198" s="30">
        <f t="shared" si="19"/>
        <v>0</v>
      </c>
      <c r="AZ198" s="30">
        <f t="shared" si="19"/>
        <v>0</v>
      </c>
      <c r="BA198" s="30">
        <f t="shared" si="19"/>
        <v>0</v>
      </c>
      <c r="BB198" s="39">
        <f t="shared" si="18"/>
        <v>0</v>
      </c>
    </row>
    <row r="199" spans="1:54">
      <c r="A199" s="168">
        <v>3311</v>
      </c>
      <c r="B199" s="2">
        <v>139174</v>
      </c>
      <c r="C199" s="2" t="s">
        <v>397</v>
      </c>
      <c r="E199" s="164">
        <v>0</v>
      </c>
      <c r="F199" s="164"/>
      <c r="G199" s="164">
        <v>0</v>
      </c>
      <c r="H199" s="164">
        <v>0</v>
      </c>
      <c r="I199" s="164">
        <v>0</v>
      </c>
      <c r="J199" s="164">
        <v>0</v>
      </c>
      <c r="K199" s="171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47"/>
      <c r="AG199" s="163"/>
      <c r="AH199" s="163"/>
      <c r="AI199" s="163"/>
      <c r="AJ199" s="163"/>
      <c r="AK199" s="163"/>
      <c r="AL199" s="163"/>
      <c r="AM199" s="163"/>
      <c r="AN199" s="239"/>
      <c r="AO199" s="239"/>
      <c r="AP199" s="242"/>
      <c r="AQ199" s="242"/>
      <c r="AR199" s="242"/>
      <c r="AS199" s="166">
        <f t="shared" ref="AS199:AS255" si="20">SUM(E199:AR199)</f>
        <v>0</v>
      </c>
      <c r="AU199" s="30">
        <f t="shared" si="19"/>
        <v>0</v>
      </c>
      <c r="AV199" s="30">
        <f t="shared" si="19"/>
        <v>0</v>
      </c>
      <c r="AW199" s="30">
        <f t="shared" si="19"/>
        <v>0</v>
      </c>
      <c r="AX199" s="30">
        <f t="shared" si="19"/>
        <v>0</v>
      </c>
      <c r="AY199" s="30">
        <f t="shared" si="19"/>
        <v>0</v>
      </c>
      <c r="AZ199" s="30">
        <f t="shared" si="19"/>
        <v>0</v>
      </c>
      <c r="BA199" s="30">
        <f t="shared" si="19"/>
        <v>0</v>
      </c>
      <c r="BB199" s="39">
        <f t="shared" si="18"/>
        <v>0</v>
      </c>
    </row>
    <row r="200" spans="1:54">
      <c r="A200" s="168">
        <v>2061</v>
      </c>
      <c r="B200" s="2">
        <v>138433</v>
      </c>
      <c r="C200" s="2" t="s">
        <v>398</v>
      </c>
      <c r="E200" s="164">
        <v>0</v>
      </c>
      <c r="F200" s="164"/>
      <c r="G200" s="164">
        <v>0</v>
      </c>
      <c r="H200" s="164">
        <v>0</v>
      </c>
      <c r="I200" s="164">
        <v>0</v>
      </c>
      <c r="J200" s="164">
        <v>0</v>
      </c>
      <c r="K200" s="171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47"/>
      <c r="AG200" s="163"/>
      <c r="AH200" s="163"/>
      <c r="AI200" s="163"/>
      <c r="AJ200" s="163"/>
      <c r="AK200" s="163"/>
      <c r="AL200" s="163"/>
      <c r="AM200" s="163"/>
      <c r="AN200" s="239"/>
      <c r="AO200" s="239"/>
      <c r="AP200" s="242"/>
      <c r="AQ200" s="242"/>
      <c r="AR200" s="242"/>
      <c r="AS200" s="166">
        <f t="shared" si="20"/>
        <v>0</v>
      </c>
      <c r="AU200" s="30">
        <f t="shared" si="19"/>
        <v>0</v>
      </c>
      <c r="AV200" s="30">
        <f t="shared" si="19"/>
        <v>0</v>
      </c>
      <c r="AW200" s="30">
        <f t="shared" si="19"/>
        <v>0</v>
      </c>
      <c r="AX200" s="30">
        <f t="shared" si="19"/>
        <v>0</v>
      </c>
      <c r="AY200" s="30">
        <f t="shared" si="19"/>
        <v>0</v>
      </c>
      <c r="AZ200" s="30">
        <f t="shared" si="19"/>
        <v>0</v>
      </c>
      <c r="BA200" s="30">
        <f t="shared" si="19"/>
        <v>0</v>
      </c>
      <c r="BB200" s="39">
        <f t="shared" ref="BB200:BB207" si="21">SUM(AU200:BA200)-AS200</f>
        <v>0</v>
      </c>
    </row>
    <row r="201" spans="1:54">
      <c r="A201" s="168">
        <v>3403</v>
      </c>
      <c r="B201" s="2">
        <v>140529</v>
      </c>
      <c r="C201" s="2" t="s">
        <v>399</v>
      </c>
      <c r="E201" s="164">
        <v>0</v>
      </c>
      <c r="F201" s="164"/>
      <c r="G201" s="164">
        <v>0</v>
      </c>
      <c r="H201" s="164">
        <v>0</v>
      </c>
      <c r="I201" s="164">
        <v>0</v>
      </c>
      <c r="J201" s="164">
        <v>0</v>
      </c>
      <c r="K201" s="171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47"/>
      <c r="AG201" s="163"/>
      <c r="AH201" s="163"/>
      <c r="AI201" s="163"/>
      <c r="AJ201" s="163"/>
      <c r="AK201" s="163"/>
      <c r="AL201" s="163"/>
      <c r="AM201" s="163"/>
      <c r="AN201" s="239"/>
      <c r="AO201" s="239"/>
      <c r="AP201" s="242"/>
      <c r="AQ201" s="242"/>
      <c r="AR201" s="242"/>
      <c r="AS201" s="166">
        <f t="shared" si="20"/>
        <v>0</v>
      </c>
      <c r="AU201" s="30">
        <f t="shared" si="19"/>
        <v>0</v>
      </c>
      <c r="AV201" s="30">
        <f t="shared" si="19"/>
        <v>0</v>
      </c>
      <c r="AW201" s="30">
        <f t="shared" si="19"/>
        <v>0</v>
      </c>
      <c r="AX201" s="30">
        <f t="shared" si="19"/>
        <v>0</v>
      </c>
      <c r="AY201" s="30">
        <f t="shared" si="19"/>
        <v>0</v>
      </c>
      <c r="AZ201" s="30">
        <f t="shared" si="19"/>
        <v>0</v>
      </c>
      <c r="BA201" s="30">
        <f t="shared" si="19"/>
        <v>0</v>
      </c>
      <c r="BB201" s="39">
        <f t="shared" si="21"/>
        <v>0</v>
      </c>
    </row>
    <row r="202" spans="1:54">
      <c r="A202" s="168">
        <v>3366</v>
      </c>
      <c r="B202" s="2">
        <v>141830</v>
      </c>
      <c r="C202" s="2" t="s">
        <v>400</v>
      </c>
      <c r="E202" s="164">
        <v>0</v>
      </c>
      <c r="F202" s="164"/>
      <c r="G202" s="164">
        <v>0</v>
      </c>
      <c r="H202" s="164">
        <v>0</v>
      </c>
      <c r="I202" s="164">
        <v>0</v>
      </c>
      <c r="J202" s="164">
        <v>0</v>
      </c>
      <c r="K202" s="171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47"/>
      <c r="AG202" s="163"/>
      <c r="AH202" s="163"/>
      <c r="AI202" s="163"/>
      <c r="AJ202" s="163"/>
      <c r="AK202" s="163"/>
      <c r="AL202" s="163"/>
      <c r="AM202" s="163"/>
      <c r="AN202" s="239"/>
      <c r="AO202" s="239"/>
      <c r="AP202" s="242"/>
      <c r="AQ202" s="242"/>
      <c r="AR202" s="242"/>
      <c r="AS202" s="166">
        <f t="shared" si="20"/>
        <v>0</v>
      </c>
      <c r="AU202" s="30">
        <f t="shared" si="19"/>
        <v>0</v>
      </c>
      <c r="AV202" s="30">
        <f t="shared" si="19"/>
        <v>0</v>
      </c>
      <c r="AW202" s="30">
        <f t="shared" si="19"/>
        <v>0</v>
      </c>
      <c r="AX202" s="30">
        <f t="shared" si="19"/>
        <v>0</v>
      </c>
      <c r="AY202" s="30">
        <f t="shared" si="19"/>
        <v>0</v>
      </c>
      <c r="AZ202" s="30">
        <f t="shared" si="19"/>
        <v>0</v>
      </c>
      <c r="BA202" s="30">
        <f t="shared" si="19"/>
        <v>0</v>
      </c>
      <c r="BB202" s="39">
        <f t="shared" si="21"/>
        <v>0</v>
      </c>
    </row>
    <row r="203" spans="1:54">
      <c r="A203" s="168">
        <v>3385</v>
      </c>
      <c r="B203" s="2">
        <v>150849</v>
      </c>
      <c r="C203" s="2" t="s">
        <v>152</v>
      </c>
      <c r="E203" s="164">
        <v>0</v>
      </c>
      <c r="F203" s="164"/>
      <c r="G203" s="164">
        <v>0</v>
      </c>
      <c r="H203" s="164">
        <v>0</v>
      </c>
      <c r="I203" s="164">
        <v>0</v>
      </c>
      <c r="J203" s="164">
        <v>0</v>
      </c>
      <c r="K203" s="171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47"/>
      <c r="AG203" s="163"/>
      <c r="AH203" s="163"/>
      <c r="AI203" s="163"/>
      <c r="AJ203" s="163"/>
      <c r="AK203" s="163"/>
      <c r="AL203" s="163"/>
      <c r="AM203" s="163"/>
      <c r="AN203" s="239"/>
      <c r="AO203" s="239"/>
      <c r="AP203" s="242"/>
      <c r="AQ203" s="242"/>
      <c r="AR203" s="242"/>
      <c r="AS203" s="166">
        <f t="shared" si="20"/>
        <v>0</v>
      </c>
      <c r="AU203" s="30">
        <f t="shared" si="19"/>
        <v>0</v>
      </c>
      <c r="AV203" s="30">
        <f t="shared" si="19"/>
        <v>0</v>
      </c>
      <c r="AW203" s="30">
        <f t="shared" si="19"/>
        <v>0</v>
      </c>
      <c r="AX203" s="30">
        <f t="shared" si="19"/>
        <v>0</v>
      </c>
      <c r="AY203" s="30">
        <f t="shared" si="19"/>
        <v>0</v>
      </c>
      <c r="AZ203" s="30">
        <f t="shared" si="19"/>
        <v>0</v>
      </c>
      <c r="BA203" s="30">
        <f t="shared" si="19"/>
        <v>0</v>
      </c>
      <c r="BB203" s="39">
        <f t="shared" si="21"/>
        <v>0</v>
      </c>
    </row>
    <row r="204" spans="1:54">
      <c r="A204" s="168">
        <v>4616</v>
      </c>
      <c r="B204" s="2">
        <v>141835</v>
      </c>
      <c r="C204" s="2" t="s">
        <v>401</v>
      </c>
      <c r="E204" s="164">
        <v>0</v>
      </c>
      <c r="F204" s="164"/>
      <c r="G204" s="164">
        <v>0</v>
      </c>
      <c r="H204" s="164">
        <v>0</v>
      </c>
      <c r="I204" s="164">
        <v>0</v>
      </c>
      <c r="J204" s="164">
        <v>0</v>
      </c>
      <c r="K204" s="171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47"/>
      <c r="AG204" s="163"/>
      <c r="AH204" s="163"/>
      <c r="AI204" s="163"/>
      <c r="AJ204" s="163"/>
      <c r="AK204" s="163"/>
      <c r="AL204" s="163"/>
      <c r="AM204" s="163"/>
      <c r="AN204" s="239"/>
      <c r="AO204" s="239"/>
      <c r="AP204" s="242"/>
      <c r="AQ204" s="242"/>
      <c r="AR204" s="242"/>
      <c r="AS204" s="166">
        <f t="shared" si="20"/>
        <v>0</v>
      </c>
      <c r="AU204" s="30">
        <f t="shared" si="19"/>
        <v>0</v>
      </c>
      <c r="AV204" s="30">
        <f t="shared" si="19"/>
        <v>0</v>
      </c>
      <c r="AW204" s="30">
        <f t="shared" si="19"/>
        <v>0</v>
      </c>
      <c r="AX204" s="30">
        <f t="shared" si="19"/>
        <v>0</v>
      </c>
      <c r="AY204" s="30">
        <f t="shared" si="19"/>
        <v>0</v>
      </c>
      <c r="AZ204" s="30">
        <f t="shared" si="19"/>
        <v>0</v>
      </c>
      <c r="BA204" s="30">
        <f t="shared" si="19"/>
        <v>0</v>
      </c>
      <c r="BB204" s="39">
        <f t="shared" si="21"/>
        <v>0</v>
      </c>
    </row>
    <row r="205" spans="1:54">
      <c r="A205" s="168">
        <v>3314</v>
      </c>
      <c r="B205" s="2">
        <v>142375</v>
      </c>
      <c r="C205" s="2" t="s">
        <v>402</v>
      </c>
      <c r="E205" s="164">
        <v>0</v>
      </c>
      <c r="F205" s="164"/>
      <c r="G205" s="164">
        <v>0</v>
      </c>
      <c r="H205" s="164">
        <v>0</v>
      </c>
      <c r="I205" s="164">
        <v>0</v>
      </c>
      <c r="J205" s="164">
        <v>0</v>
      </c>
      <c r="K205" s="171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47"/>
      <c r="AG205" s="163"/>
      <c r="AH205" s="163"/>
      <c r="AI205" s="163"/>
      <c r="AJ205" s="163"/>
      <c r="AK205" s="163"/>
      <c r="AL205" s="163"/>
      <c r="AM205" s="163"/>
      <c r="AN205" s="239"/>
      <c r="AO205" s="239"/>
      <c r="AP205" s="242"/>
      <c r="AQ205" s="242"/>
      <c r="AR205" s="242"/>
      <c r="AS205" s="166">
        <f t="shared" si="20"/>
        <v>0</v>
      </c>
      <c r="AU205" s="30">
        <f t="shared" si="19"/>
        <v>0</v>
      </c>
      <c r="AV205" s="30">
        <f t="shared" si="19"/>
        <v>0</v>
      </c>
      <c r="AW205" s="30">
        <f t="shared" si="19"/>
        <v>0</v>
      </c>
      <c r="AX205" s="30">
        <f t="shared" si="19"/>
        <v>0</v>
      </c>
      <c r="AY205" s="30">
        <f t="shared" si="19"/>
        <v>0</v>
      </c>
      <c r="AZ205" s="30">
        <f t="shared" si="19"/>
        <v>0</v>
      </c>
      <c r="BA205" s="30">
        <f t="shared" si="19"/>
        <v>0</v>
      </c>
      <c r="BB205" s="39">
        <f t="shared" si="21"/>
        <v>0</v>
      </c>
    </row>
    <row r="206" spans="1:54">
      <c r="A206" s="168">
        <v>2201</v>
      </c>
      <c r="B206" s="2">
        <v>147017</v>
      </c>
      <c r="C206" s="2" t="s">
        <v>403</v>
      </c>
      <c r="E206" s="164">
        <v>0</v>
      </c>
      <c r="F206" s="164"/>
      <c r="G206" s="164">
        <v>0</v>
      </c>
      <c r="H206" s="164">
        <v>0</v>
      </c>
      <c r="I206" s="164">
        <v>0</v>
      </c>
      <c r="J206" s="164">
        <v>0</v>
      </c>
      <c r="K206" s="171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47"/>
      <c r="AG206" s="163"/>
      <c r="AH206" s="163"/>
      <c r="AI206" s="163"/>
      <c r="AJ206" s="163"/>
      <c r="AK206" s="163"/>
      <c r="AL206" s="163"/>
      <c r="AM206" s="163"/>
      <c r="AN206" s="239"/>
      <c r="AO206" s="239"/>
      <c r="AP206" s="242"/>
      <c r="AQ206" s="242"/>
      <c r="AR206" s="242"/>
      <c r="AS206" s="166">
        <f t="shared" si="20"/>
        <v>0</v>
      </c>
      <c r="AU206" s="30">
        <f t="shared" si="19"/>
        <v>0</v>
      </c>
      <c r="AV206" s="30">
        <f t="shared" si="19"/>
        <v>0</v>
      </c>
      <c r="AW206" s="30">
        <f t="shared" si="19"/>
        <v>0</v>
      </c>
      <c r="AX206" s="30">
        <f t="shared" si="19"/>
        <v>0</v>
      </c>
      <c r="AY206" s="30">
        <f t="shared" si="19"/>
        <v>0</v>
      </c>
      <c r="AZ206" s="30">
        <f t="shared" si="19"/>
        <v>0</v>
      </c>
      <c r="BA206" s="30">
        <f t="shared" si="19"/>
        <v>0</v>
      </c>
      <c r="BB206" s="39">
        <f t="shared" si="21"/>
        <v>0</v>
      </c>
    </row>
    <row r="207" spans="1:54">
      <c r="A207" s="168">
        <v>3359</v>
      </c>
      <c r="B207" s="2">
        <v>148083</v>
      </c>
      <c r="C207" s="2" t="s">
        <v>404</v>
      </c>
      <c r="E207" s="164">
        <v>0</v>
      </c>
      <c r="F207" s="164"/>
      <c r="G207" s="164">
        <v>0</v>
      </c>
      <c r="H207" s="164">
        <v>0</v>
      </c>
      <c r="I207" s="164">
        <v>0</v>
      </c>
      <c r="J207" s="164">
        <v>0</v>
      </c>
      <c r="K207" s="171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47"/>
      <c r="AG207" s="163"/>
      <c r="AH207" s="163"/>
      <c r="AI207" s="163"/>
      <c r="AJ207" s="163"/>
      <c r="AK207" s="163"/>
      <c r="AL207" s="163"/>
      <c r="AM207" s="163"/>
      <c r="AN207" s="239"/>
      <c r="AO207" s="239"/>
      <c r="AP207" s="242"/>
      <c r="AQ207" s="242"/>
      <c r="AR207" s="242"/>
      <c r="AS207" s="166">
        <f t="shared" si="20"/>
        <v>0</v>
      </c>
      <c r="AU207" s="30">
        <f t="shared" si="19"/>
        <v>0</v>
      </c>
      <c r="AV207" s="30">
        <f t="shared" si="19"/>
        <v>0</v>
      </c>
      <c r="AW207" s="30">
        <f t="shared" si="19"/>
        <v>0</v>
      </c>
      <c r="AX207" s="30">
        <f t="shared" si="19"/>
        <v>0</v>
      </c>
      <c r="AY207" s="30">
        <f t="shared" si="19"/>
        <v>0</v>
      </c>
      <c r="AZ207" s="30">
        <f t="shared" si="19"/>
        <v>0</v>
      </c>
      <c r="BA207" s="30">
        <f t="shared" si="19"/>
        <v>0</v>
      </c>
      <c r="BB207" s="39">
        <f t="shared" si="21"/>
        <v>0</v>
      </c>
    </row>
    <row r="208" spans="1:54">
      <c r="A208" s="168">
        <v>4045</v>
      </c>
      <c r="B208" s="2">
        <v>149155</v>
      </c>
      <c r="C208" s="2" t="s">
        <v>405</v>
      </c>
      <c r="E208" s="164">
        <v>0</v>
      </c>
      <c r="F208" s="164"/>
      <c r="G208" s="164">
        <v>0</v>
      </c>
      <c r="H208" s="164">
        <v>0</v>
      </c>
      <c r="I208" s="164">
        <v>0</v>
      </c>
      <c r="J208" s="164">
        <v>0</v>
      </c>
      <c r="K208" s="171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47"/>
      <c r="AG208" s="163"/>
      <c r="AH208" s="163"/>
      <c r="AI208" s="163"/>
      <c r="AJ208" s="163"/>
      <c r="AK208" s="163"/>
      <c r="AL208" s="163"/>
      <c r="AM208" s="163"/>
      <c r="AN208" s="239"/>
      <c r="AO208" s="239"/>
      <c r="AP208" s="242"/>
      <c r="AQ208" s="242"/>
      <c r="AR208" s="242"/>
      <c r="AS208" s="166">
        <f t="shared" si="20"/>
        <v>0</v>
      </c>
      <c r="AU208" s="30">
        <f t="shared" ref="AU208:BB208" si="22">SUM(AU70:AU207)</f>
        <v>57269.96</v>
      </c>
      <c r="AV208" s="30">
        <f t="shared" si="22"/>
        <v>0</v>
      </c>
      <c r="AW208" s="30">
        <f t="shared" si="22"/>
        <v>4556424.3960550362</v>
      </c>
      <c r="AX208" s="30">
        <f t="shared" si="22"/>
        <v>0</v>
      </c>
      <c r="AY208" s="30">
        <f t="shared" si="19"/>
        <v>0</v>
      </c>
      <c r="AZ208" s="30">
        <f t="shared" si="22"/>
        <v>0</v>
      </c>
      <c r="BA208" s="30">
        <f t="shared" si="22"/>
        <v>0</v>
      </c>
      <c r="BB208" s="39">
        <f t="shared" si="22"/>
        <v>0</v>
      </c>
    </row>
    <row r="209" spans="1:54">
      <c r="A209" s="168">
        <v>4038</v>
      </c>
      <c r="B209" s="2">
        <v>147757</v>
      </c>
      <c r="C209" s="2" t="s">
        <v>406</v>
      </c>
      <c r="E209" s="164">
        <v>0</v>
      </c>
      <c r="F209" s="164"/>
      <c r="G209" s="164">
        <v>0</v>
      </c>
      <c r="H209" s="164">
        <v>0</v>
      </c>
      <c r="I209" s="164">
        <v>0</v>
      </c>
      <c r="J209" s="164">
        <v>0</v>
      </c>
      <c r="K209" s="171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47"/>
      <c r="AG209" s="163"/>
      <c r="AH209" s="163"/>
      <c r="AI209" s="163"/>
      <c r="AJ209" s="163"/>
      <c r="AK209" s="163"/>
      <c r="AL209" s="163"/>
      <c r="AM209" s="163"/>
      <c r="AN209" s="239"/>
      <c r="AO209" s="239"/>
      <c r="AP209" s="242"/>
      <c r="AQ209" s="242"/>
      <c r="AR209" s="242"/>
      <c r="AS209" s="166">
        <f t="shared" si="20"/>
        <v>0</v>
      </c>
      <c r="AU209" s="30">
        <f t="shared" ref="AU209:AX209" si="23">SUM(AU71:AU208)</f>
        <v>114539.92</v>
      </c>
      <c r="AV209" s="30">
        <f t="shared" si="23"/>
        <v>0</v>
      </c>
      <c r="AW209" s="30">
        <f t="shared" si="23"/>
        <v>9112848.7921100724</v>
      </c>
      <c r="AX209" s="30">
        <f t="shared" si="23"/>
        <v>0</v>
      </c>
      <c r="AY209" s="30">
        <f t="shared" ref="AY209:AY255" si="24">SUMIF($E$3:$AR$3,AY$6,$E209:$AR209)</f>
        <v>0</v>
      </c>
      <c r="AZ209" s="30">
        <f t="shared" ref="AZ209:BB209" si="25">SUM(AZ71:AZ208)</f>
        <v>0</v>
      </c>
      <c r="BA209" s="30">
        <f t="shared" si="25"/>
        <v>0</v>
      </c>
      <c r="BB209" s="39">
        <f t="shared" si="25"/>
        <v>0</v>
      </c>
    </row>
    <row r="210" spans="1:54">
      <c r="A210" s="168">
        <v>2188</v>
      </c>
      <c r="B210" s="2">
        <v>143433</v>
      </c>
      <c r="C210" s="2" t="s">
        <v>407</v>
      </c>
      <c r="E210" s="164">
        <v>0</v>
      </c>
      <c r="F210" s="164"/>
      <c r="G210" s="164">
        <v>0</v>
      </c>
      <c r="H210" s="164">
        <v>0</v>
      </c>
      <c r="I210" s="164">
        <v>0</v>
      </c>
      <c r="J210" s="164">
        <v>0</v>
      </c>
      <c r="K210" s="171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47"/>
      <c r="AG210" s="163"/>
      <c r="AH210" s="163"/>
      <c r="AI210" s="163"/>
      <c r="AJ210" s="163"/>
      <c r="AK210" s="163"/>
      <c r="AL210" s="163"/>
      <c r="AM210" s="163"/>
      <c r="AN210" s="239"/>
      <c r="AO210" s="239"/>
      <c r="AP210" s="242"/>
      <c r="AQ210" s="242"/>
      <c r="AR210" s="242"/>
      <c r="AS210" s="166">
        <f t="shared" si="20"/>
        <v>0</v>
      </c>
      <c r="AU210" s="30">
        <f t="shared" ref="AU210:AX210" si="26">SUM(AU72:AU209)</f>
        <v>229079.84</v>
      </c>
      <c r="AV210" s="30">
        <f t="shared" si="26"/>
        <v>0</v>
      </c>
      <c r="AW210" s="30">
        <f t="shared" si="26"/>
        <v>18225697.584220145</v>
      </c>
      <c r="AX210" s="30">
        <f t="shared" si="26"/>
        <v>0</v>
      </c>
      <c r="AY210" s="30">
        <f t="shared" si="24"/>
        <v>0</v>
      </c>
      <c r="AZ210" s="30">
        <f t="shared" ref="AZ210:BB210" si="27">SUM(AZ72:AZ209)</f>
        <v>0</v>
      </c>
      <c r="BA210" s="30">
        <f t="shared" si="27"/>
        <v>0</v>
      </c>
      <c r="BB210" s="39">
        <f t="shared" si="27"/>
        <v>0</v>
      </c>
    </row>
    <row r="211" spans="1:54">
      <c r="A211" s="168">
        <v>4206</v>
      </c>
      <c r="B211" s="2">
        <v>138137</v>
      </c>
      <c r="C211" s="2" t="s">
        <v>408</v>
      </c>
      <c r="E211" s="164">
        <v>0</v>
      </c>
      <c r="F211" s="164"/>
      <c r="G211" s="164">
        <v>0</v>
      </c>
      <c r="H211" s="164">
        <v>0</v>
      </c>
      <c r="I211" s="164">
        <v>0</v>
      </c>
      <c r="J211" s="164">
        <v>0</v>
      </c>
      <c r="K211" s="171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47"/>
      <c r="AG211" s="163"/>
      <c r="AH211" s="163"/>
      <c r="AI211" s="163"/>
      <c r="AJ211" s="163"/>
      <c r="AK211" s="163"/>
      <c r="AL211" s="163"/>
      <c r="AM211" s="163"/>
      <c r="AN211" s="239"/>
      <c r="AO211" s="239"/>
      <c r="AP211" s="242"/>
      <c r="AQ211" s="242"/>
      <c r="AR211" s="242"/>
      <c r="AS211" s="166">
        <f t="shared" si="20"/>
        <v>0</v>
      </c>
      <c r="AU211" s="30">
        <f t="shared" ref="AU211:AX211" si="28">SUM(AU73:AU210)</f>
        <v>458159.68</v>
      </c>
      <c r="AV211" s="30">
        <f t="shared" si="28"/>
        <v>0</v>
      </c>
      <c r="AW211" s="30">
        <f t="shared" si="28"/>
        <v>36451395.16844029</v>
      </c>
      <c r="AX211" s="30">
        <f t="shared" si="28"/>
        <v>0</v>
      </c>
      <c r="AY211" s="30">
        <f t="shared" si="24"/>
        <v>0</v>
      </c>
      <c r="AZ211" s="30">
        <f t="shared" ref="AZ211:BB211" si="29">SUM(AZ73:AZ210)</f>
        <v>0</v>
      </c>
      <c r="BA211" s="30">
        <f t="shared" si="29"/>
        <v>0</v>
      </c>
      <c r="BB211" s="39">
        <f t="shared" si="29"/>
        <v>0</v>
      </c>
    </row>
    <row r="212" spans="1:54">
      <c r="A212" s="168">
        <v>2097</v>
      </c>
      <c r="B212" s="2">
        <v>150876</v>
      </c>
      <c r="C212" s="2" t="s">
        <v>153</v>
      </c>
      <c r="E212" s="164">
        <v>0</v>
      </c>
      <c r="F212" s="164"/>
      <c r="G212" s="164">
        <v>0</v>
      </c>
      <c r="H212" s="164">
        <v>0</v>
      </c>
      <c r="I212" s="164">
        <v>0</v>
      </c>
      <c r="J212" s="164">
        <v>0</v>
      </c>
      <c r="K212" s="171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47"/>
      <c r="AG212" s="163"/>
      <c r="AH212" s="163"/>
      <c r="AI212" s="163"/>
      <c r="AJ212" s="163"/>
      <c r="AK212" s="163"/>
      <c r="AL212" s="163"/>
      <c r="AM212" s="163"/>
      <c r="AN212" s="239"/>
      <c r="AO212" s="239"/>
      <c r="AP212" s="242"/>
      <c r="AQ212" s="242"/>
      <c r="AR212" s="242"/>
      <c r="AS212" s="166">
        <f t="shared" si="20"/>
        <v>0</v>
      </c>
      <c r="AU212" s="30">
        <f t="shared" ref="AU212:AX212" si="30">SUM(AU74:AU211)</f>
        <v>916319.36</v>
      </c>
      <c r="AV212" s="30">
        <f t="shared" si="30"/>
        <v>0</v>
      </c>
      <c r="AW212" s="30">
        <f t="shared" si="30"/>
        <v>72902790.33688058</v>
      </c>
      <c r="AX212" s="30">
        <f t="shared" si="30"/>
        <v>0</v>
      </c>
      <c r="AY212" s="30">
        <f t="shared" si="24"/>
        <v>0</v>
      </c>
      <c r="AZ212" s="30">
        <f t="shared" ref="AZ212:BB212" si="31">SUM(AZ74:AZ211)</f>
        <v>0</v>
      </c>
      <c r="BA212" s="30">
        <f t="shared" si="31"/>
        <v>0</v>
      </c>
      <c r="BB212" s="39">
        <f t="shared" si="31"/>
        <v>0</v>
      </c>
    </row>
    <row r="213" spans="1:54">
      <c r="A213" s="168">
        <v>2214</v>
      </c>
      <c r="B213" s="2">
        <v>150708</v>
      </c>
      <c r="C213" s="2" t="s">
        <v>409</v>
      </c>
      <c r="E213" s="164">
        <v>0</v>
      </c>
      <c r="F213" s="164"/>
      <c r="G213" s="164">
        <v>0</v>
      </c>
      <c r="H213" s="164">
        <v>0</v>
      </c>
      <c r="I213" s="164">
        <v>0</v>
      </c>
      <c r="J213" s="164">
        <v>0</v>
      </c>
      <c r="K213" s="171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47"/>
      <c r="AG213" s="163"/>
      <c r="AH213" s="163"/>
      <c r="AI213" s="163"/>
      <c r="AJ213" s="163"/>
      <c r="AK213" s="163"/>
      <c r="AL213" s="163"/>
      <c r="AM213" s="163"/>
      <c r="AN213" s="239"/>
      <c r="AO213" s="239"/>
      <c r="AP213" s="242"/>
      <c r="AQ213" s="242"/>
      <c r="AR213" s="242"/>
      <c r="AS213" s="166">
        <f t="shared" si="20"/>
        <v>0</v>
      </c>
      <c r="AU213" s="30">
        <f t="shared" ref="AU213:AX213" si="32">SUM(AU75:AU212)</f>
        <v>1832638.72</v>
      </c>
      <c r="AV213" s="30">
        <f t="shared" si="32"/>
        <v>0</v>
      </c>
      <c r="AW213" s="30">
        <f t="shared" si="32"/>
        <v>145805580.67376116</v>
      </c>
      <c r="AX213" s="30">
        <f t="shared" si="32"/>
        <v>0</v>
      </c>
      <c r="AY213" s="30">
        <f t="shared" si="24"/>
        <v>0</v>
      </c>
      <c r="AZ213" s="30">
        <f t="shared" ref="AZ213:BB213" si="33">SUM(AZ75:AZ212)</f>
        <v>0</v>
      </c>
      <c r="BA213" s="30">
        <f t="shared" si="33"/>
        <v>0</v>
      </c>
      <c r="BB213" s="39">
        <f t="shared" si="33"/>
        <v>0</v>
      </c>
    </row>
    <row r="214" spans="1:54">
      <c r="A214" s="168">
        <v>4300</v>
      </c>
      <c r="B214" s="2">
        <v>136778</v>
      </c>
      <c r="C214" s="2" t="s">
        <v>410</v>
      </c>
      <c r="E214" s="164">
        <v>0</v>
      </c>
      <c r="F214" s="164"/>
      <c r="G214" s="164">
        <v>0</v>
      </c>
      <c r="H214" s="164">
        <v>0</v>
      </c>
      <c r="I214" s="164">
        <v>0</v>
      </c>
      <c r="J214" s="164">
        <v>0</v>
      </c>
      <c r="K214" s="171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47"/>
      <c r="AG214" s="163"/>
      <c r="AH214" s="163"/>
      <c r="AI214" s="163"/>
      <c r="AJ214" s="163"/>
      <c r="AK214" s="163"/>
      <c r="AL214" s="163"/>
      <c r="AM214" s="163"/>
      <c r="AN214" s="239"/>
      <c r="AO214" s="239"/>
      <c r="AP214" s="242"/>
      <c r="AQ214" s="242"/>
      <c r="AR214" s="242"/>
      <c r="AS214" s="166">
        <f t="shared" si="20"/>
        <v>0</v>
      </c>
      <c r="AU214" s="30">
        <f t="shared" ref="AU214:AX214" si="34">SUM(AU76:AU213)</f>
        <v>3665277.44</v>
      </c>
      <c r="AV214" s="30">
        <f t="shared" si="34"/>
        <v>0</v>
      </c>
      <c r="AW214" s="30">
        <f t="shared" si="34"/>
        <v>291611161.34752232</v>
      </c>
      <c r="AX214" s="30">
        <f t="shared" si="34"/>
        <v>0</v>
      </c>
      <c r="AY214" s="30">
        <f t="shared" si="24"/>
        <v>0</v>
      </c>
      <c r="AZ214" s="30">
        <f t="shared" ref="AZ214:BB214" si="35">SUM(AZ76:AZ213)</f>
        <v>0</v>
      </c>
      <c r="BA214" s="30">
        <f t="shared" si="35"/>
        <v>0</v>
      </c>
      <c r="BB214" s="39">
        <f t="shared" si="35"/>
        <v>0</v>
      </c>
    </row>
    <row r="215" spans="1:54">
      <c r="A215" s="168">
        <v>2204</v>
      </c>
      <c r="B215" s="2">
        <v>147111</v>
      </c>
      <c r="C215" s="2" t="s">
        <v>411</v>
      </c>
      <c r="E215" s="164">
        <v>0</v>
      </c>
      <c r="F215" s="164"/>
      <c r="G215" s="164">
        <v>0</v>
      </c>
      <c r="H215" s="164">
        <v>0</v>
      </c>
      <c r="I215" s="164">
        <v>0</v>
      </c>
      <c r="J215" s="164">
        <v>0</v>
      </c>
      <c r="K215" s="171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47"/>
      <c r="AG215" s="163"/>
      <c r="AH215" s="163"/>
      <c r="AI215" s="163"/>
      <c r="AJ215" s="163"/>
      <c r="AK215" s="163"/>
      <c r="AL215" s="163"/>
      <c r="AM215" s="163"/>
      <c r="AN215" s="239"/>
      <c r="AO215" s="239"/>
      <c r="AP215" s="242"/>
      <c r="AQ215" s="242"/>
      <c r="AR215" s="242"/>
      <c r="AS215" s="166">
        <f t="shared" si="20"/>
        <v>0</v>
      </c>
      <c r="AU215" s="30">
        <f t="shared" ref="AU215:AX215" si="36">SUM(AU77:AU214)</f>
        <v>7330554.8799999999</v>
      </c>
      <c r="AV215" s="30">
        <f t="shared" si="36"/>
        <v>0</v>
      </c>
      <c r="AW215" s="30">
        <f t="shared" si="36"/>
        <v>583222322.69504464</v>
      </c>
      <c r="AX215" s="30">
        <f t="shared" si="36"/>
        <v>0</v>
      </c>
      <c r="AY215" s="30">
        <f t="shared" si="24"/>
        <v>0</v>
      </c>
      <c r="AZ215" s="30">
        <f t="shared" ref="AZ215:BB215" si="37">SUM(AZ77:AZ214)</f>
        <v>0</v>
      </c>
      <c r="BA215" s="30">
        <f t="shared" si="37"/>
        <v>0</v>
      </c>
      <c r="BB215" s="39">
        <f t="shared" si="37"/>
        <v>0</v>
      </c>
    </row>
    <row r="216" spans="1:54">
      <c r="A216" s="168">
        <v>4237</v>
      </c>
      <c r="B216" s="2">
        <v>151403</v>
      </c>
      <c r="C216" s="2" t="s">
        <v>148</v>
      </c>
      <c r="E216" s="164">
        <v>0</v>
      </c>
      <c r="F216" s="164"/>
      <c r="G216" s="164">
        <v>0</v>
      </c>
      <c r="H216" s="164">
        <v>0</v>
      </c>
      <c r="I216" s="164">
        <v>0</v>
      </c>
      <c r="J216" s="164">
        <v>0</v>
      </c>
      <c r="K216" s="171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47"/>
      <c r="AG216" s="163"/>
      <c r="AH216" s="163"/>
      <c r="AI216" s="163"/>
      <c r="AJ216" s="163"/>
      <c r="AK216" s="163"/>
      <c r="AL216" s="163"/>
      <c r="AM216" s="163"/>
      <c r="AN216" s="239"/>
      <c r="AO216" s="239"/>
      <c r="AP216" s="242"/>
      <c r="AQ216" s="242"/>
      <c r="AR216" s="242"/>
      <c r="AS216" s="166">
        <f t="shared" si="20"/>
        <v>0</v>
      </c>
      <c r="AU216" s="30">
        <f t="shared" ref="AU216:AX216" si="38">SUM(AU78:AU215)</f>
        <v>14661109.76</v>
      </c>
      <c r="AV216" s="30">
        <f t="shared" si="38"/>
        <v>0</v>
      </c>
      <c r="AW216" s="30">
        <f t="shared" si="38"/>
        <v>1166444645.3900893</v>
      </c>
      <c r="AX216" s="30">
        <f t="shared" si="38"/>
        <v>0</v>
      </c>
      <c r="AY216" s="30">
        <f t="shared" si="24"/>
        <v>0</v>
      </c>
      <c r="AZ216" s="30">
        <f t="shared" ref="AZ216:BB216" si="39">SUM(AZ78:AZ215)</f>
        <v>0</v>
      </c>
      <c r="BA216" s="30">
        <f t="shared" si="39"/>
        <v>0</v>
      </c>
      <c r="BB216" s="39">
        <f t="shared" si="39"/>
        <v>0</v>
      </c>
    </row>
    <row r="217" spans="1:54">
      <c r="A217" s="168">
        <v>2098</v>
      </c>
      <c r="B217" s="2">
        <v>139011</v>
      </c>
      <c r="C217" s="2" t="s">
        <v>412</v>
      </c>
      <c r="E217" s="164">
        <v>0</v>
      </c>
      <c r="F217" s="164"/>
      <c r="G217" s="164">
        <v>0</v>
      </c>
      <c r="H217" s="164">
        <v>0</v>
      </c>
      <c r="I217" s="164">
        <v>0</v>
      </c>
      <c r="J217" s="164">
        <v>0</v>
      </c>
      <c r="K217" s="171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47"/>
      <c r="AG217" s="163"/>
      <c r="AH217" s="163"/>
      <c r="AI217" s="163"/>
      <c r="AJ217" s="163"/>
      <c r="AK217" s="163"/>
      <c r="AL217" s="163"/>
      <c r="AM217" s="163"/>
      <c r="AN217" s="239"/>
      <c r="AO217" s="239"/>
      <c r="AP217" s="242"/>
      <c r="AQ217" s="242"/>
      <c r="AR217" s="242"/>
      <c r="AS217" s="166">
        <f t="shared" si="20"/>
        <v>0</v>
      </c>
      <c r="AU217" s="30">
        <f t="shared" ref="AU217:AX217" si="40">SUM(AU79:AU216)</f>
        <v>29322219.52</v>
      </c>
      <c r="AV217" s="30">
        <f t="shared" si="40"/>
        <v>0</v>
      </c>
      <c r="AW217" s="30">
        <f t="shared" si="40"/>
        <v>2332889290.7801785</v>
      </c>
      <c r="AX217" s="30">
        <f t="shared" si="40"/>
        <v>0</v>
      </c>
      <c r="AY217" s="30">
        <f t="shared" si="24"/>
        <v>0</v>
      </c>
      <c r="AZ217" s="30">
        <f t="shared" ref="AZ217:BB217" si="41">SUM(AZ79:AZ216)</f>
        <v>0</v>
      </c>
      <c r="BA217" s="30">
        <f t="shared" si="41"/>
        <v>0</v>
      </c>
      <c r="BB217" s="39">
        <f t="shared" si="41"/>
        <v>0</v>
      </c>
    </row>
    <row r="218" spans="1:54">
      <c r="A218" s="168">
        <v>4307</v>
      </c>
      <c r="B218" s="2">
        <v>138136</v>
      </c>
      <c r="C218" s="2" t="s">
        <v>413</v>
      </c>
      <c r="E218" s="164">
        <v>0</v>
      </c>
      <c r="F218" s="164"/>
      <c r="G218" s="164">
        <v>0</v>
      </c>
      <c r="H218" s="164">
        <v>0</v>
      </c>
      <c r="I218" s="164">
        <v>0</v>
      </c>
      <c r="J218" s="164">
        <v>0</v>
      </c>
      <c r="K218" s="171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47"/>
      <c r="AG218" s="163"/>
      <c r="AH218" s="163"/>
      <c r="AI218" s="163"/>
      <c r="AJ218" s="163"/>
      <c r="AK218" s="163"/>
      <c r="AL218" s="163"/>
      <c r="AM218" s="163"/>
      <c r="AN218" s="239"/>
      <c r="AO218" s="239"/>
      <c r="AP218" s="242"/>
      <c r="AQ218" s="242"/>
      <c r="AR218" s="242"/>
      <c r="AS218" s="166">
        <f t="shared" si="20"/>
        <v>0</v>
      </c>
      <c r="AU218" s="30">
        <f t="shared" ref="AU218:AX218" si="42">SUM(AU80:AU217)</f>
        <v>58644439.039999999</v>
      </c>
      <c r="AV218" s="30">
        <f t="shared" si="42"/>
        <v>0</v>
      </c>
      <c r="AW218" s="30">
        <f t="shared" si="42"/>
        <v>4665778581.5603571</v>
      </c>
      <c r="AX218" s="30">
        <f t="shared" si="42"/>
        <v>0</v>
      </c>
      <c r="AY218" s="30">
        <f t="shared" si="24"/>
        <v>0</v>
      </c>
      <c r="AZ218" s="30">
        <f t="shared" ref="AZ218:BB218" si="43">SUM(AZ80:AZ217)</f>
        <v>0</v>
      </c>
      <c r="BA218" s="30">
        <f t="shared" si="43"/>
        <v>0</v>
      </c>
      <c r="BB218" s="39">
        <f t="shared" si="43"/>
        <v>0</v>
      </c>
    </row>
    <row r="219" spans="1:54">
      <c r="A219" s="168">
        <v>7049</v>
      </c>
      <c r="B219" s="2">
        <v>144043</v>
      </c>
      <c r="C219" s="2" t="s">
        <v>414</v>
      </c>
      <c r="E219" s="164">
        <v>185836.85089498872</v>
      </c>
      <c r="F219" s="164"/>
      <c r="G219" s="164">
        <v>44875.894468346749</v>
      </c>
      <c r="H219" s="164">
        <v>30671.22</v>
      </c>
      <c r="I219" s="164">
        <v>1175.24</v>
      </c>
      <c r="J219" s="164">
        <v>1567.86</v>
      </c>
      <c r="K219" s="171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47"/>
      <c r="AG219" s="163"/>
      <c r="AH219" s="163"/>
      <c r="AI219" s="163"/>
      <c r="AJ219" s="163"/>
      <c r="AK219" s="163"/>
      <c r="AL219" s="163"/>
      <c r="AM219" s="163"/>
      <c r="AN219" s="239"/>
      <c r="AO219" s="239"/>
      <c r="AP219" s="242"/>
      <c r="AQ219" s="242"/>
      <c r="AR219" s="242"/>
      <c r="AS219" s="166">
        <f t="shared" si="20"/>
        <v>264127.06536333548</v>
      </c>
      <c r="AU219" s="30">
        <f t="shared" ref="AU219:AX219" si="44">SUM(AU81:AU218)</f>
        <v>117288878.08</v>
      </c>
      <c r="AV219" s="30">
        <f t="shared" si="44"/>
        <v>0</v>
      </c>
      <c r="AW219" s="30">
        <f t="shared" si="44"/>
        <v>9331557163.1207142</v>
      </c>
      <c r="AX219" s="30">
        <f t="shared" si="44"/>
        <v>0</v>
      </c>
      <c r="AY219" s="30">
        <f t="shared" si="24"/>
        <v>0</v>
      </c>
      <c r="AZ219" s="30">
        <f t="shared" ref="AZ219:BB219" si="45">SUM(AZ81:AZ218)</f>
        <v>0</v>
      </c>
      <c r="BA219" s="30">
        <f t="shared" si="45"/>
        <v>0</v>
      </c>
      <c r="BB219" s="39">
        <f t="shared" si="45"/>
        <v>0</v>
      </c>
    </row>
    <row r="220" spans="1:54">
      <c r="A220" s="168">
        <v>5201</v>
      </c>
      <c r="B220" s="2">
        <v>137155</v>
      </c>
      <c r="C220" s="2" t="s">
        <v>415</v>
      </c>
      <c r="E220" s="164">
        <v>0</v>
      </c>
      <c r="F220" s="164"/>
      <c r="G220" s="164">
        <v>0</v>
      </c>
      <c r="H220" s="164">
        <v>0</v>
      </c>
      <c r="I220" s="164">
        <v>0</v>
      </c>
      <c r="J220" s="164">
        <v>0</v>
      </c>
      <c r="K220" s="171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47"/>
      <c r="AG220" s="163"/>
      <c r="AH220" s="163"/>
      <c r="AI220" s="163"/>
      <c r="AJ220" s="163"/>
      <c r="AK220" s="163"/>
      <c r="AL220" s="163"/>
      <c r="AM220" s="163"/>
      <c r="AN220" s="239"/>
      <c r="AO220" s="239"/>
      <c r="AP220" s="242"/>
      <c r="AQ220" s="242"/>
      <c r="AR220" s="242"/>
      <c r="AS220" s="166">
        <f t="shared" si="20"/>
        <v>0</v>
      </c>
      <c r="AU220" s="30">
        <f t="shared" ref="AU220:AX220" si="46">SUM(AU82:AU219)</f>
        <v>234577756.16</v>
      </c>
      <c r="AV220" s="30">
        <f t="shared" si="46"/>
        <v>0</v>
      </c>
      <c r="AW220" s="30">
        <f t="shared" si="46"/>
        <v>18663114326.241428</v>
      </c>
      <c r="AX220" s="30">
        <f t="shared" si="46"/>
        <v>0</v>
      </c>
      <c r="AY220" s="30">
        <f t="shared" si="24"/>
        <v>0</v>
      </c>
      <c r="AZ220" s="30">
        <f t="shared" ref="AZ220:BB220" si="47">SUM(AZ82:AZ219)</f>
        <v>0</v>
      </c>
      <c r="BA220" s="30">
        <f t="shared" si="47"/>
        <v>0</v>
      </c>
      <c r="BB220" s="39">
        <f t="shared" si="47"/>
        <v>0</v>
      </c>
    </row>
    <row r="221" spans="1:54">
      <c r="A221" s="168">
        <v>1111</v>
      </c>
      <c r="B221" s="2">
        <v>142071</v>
      </c>
      <c r="C221" s="2" t="s">
        <v>416</v>
      </c>
      <c r="E221" s="164">
        <v>148669.480715991</v>
      </c>
      <c r="F221" s="164"/>
      <c r="G221" s="164">
        <v>35900.715574677401</v>
      </c>
      <c r="H221" s="164">
        <v>24536.98</v>
      </c>
      <c r="I221" s="164">
        <v>940.19</v>
      </c>
      <c r="J221" s="164">
        <v>1254.29</v>
      </c>
      <c r="K221" s="171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47"/>
      <c r="AG221" s="163"/>
      <c r="AH221" s="163"/>
      <c r="AI221" s="163"/>
      <c r="AJ221" s="163"/>
      <c r="AK221" s="163"/>
      <c r="AL221" s="163"/>
      <c r="AM221" s="163"/>
      <c r="AN221" s="239"/>
      <c r="AO221" s="239"/>
      <c r="AP221" s="242"/>
      <c r="AQ221" s="242"/>
      <c r="AR221" s="242"/>
      <c r="AS221" s="166">
        <f t="shared" si="20"/>
        <v>211301.65629066841</v>
      </c>
      <c r="AU221" s="30">
        <f t="shared" ref="AU221:AX221" si="48">SUM(AU83:AU220)</f>
        <v>469155512.31999999</v>
      </c>
      <c r="AV221" s="30">
        <f t="shared" si="48"/>
        <v>0</v>
      </c>
      <c r="AW221" s="30">
        <f t="shared" si="48"/>
        <v>37326228652.482857</v>
      </c>
      <c r="AX221" s="30">
        <f t="shared" si="48"/>
        <v>0</v>
      </c>
      <c r="AY221" s="30">
        <f t="shared" si="24"/>
        <v>0</v>
      </c>
      <c r="AZ221" s="30">
        <f t="shared" ref="AZ221:BB221" si="49">SUM(AZ83:AZ220)</f>
        <v>0</v>
      </c>
      <c r="BA221" s="30">
        <f t="shared" si="49"/>
        <v>0</v>
      </c>
      <c r="BB221" s="39">
        <f t="shared" si="49"/>
        <v>0</v>
      </c>
    </row>
    <row r="222" spans="1:54">
      <c r="A222" s="168">
        <v>2246</v>
      </c>
      <c r="B222" s="2">
        <v>151709</v>
      </c>
      <c r="C222" s="2" t="s">
        <v>22</v>
      </c>
      <c r="E222" s="164">
        <v>0</v>
      </c>
      <c r="F222" s="164"/>
      <c r="G222" s="164">
        <v>0</v>
      </c>
      <c r="H222" s="164">
        <v>0</v>
      </c>
      <c r="I222" s="164">
        <v>0</v>
      </c>
      <c r="J222" s="164">
        <v>0</v>
      </c>
      <c r="K222" s="171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47"/>
      <c r="AG222" s="163"/>
      <c r="AH222" s="163"/>
      <c r="AI222" s="163"/>
      <c r="AJ222" s="163"/>
      <c r="AK222" s="163"/>
      <c r="AL222" s="163"/>
      <c r="AM222" s="163"/>
      <c r="AN222" s="239"/>
      <c r="AO222" s="239"/>
      <c r="AP222" s="242"/>
      <c r="AQ222" s="242"/>
      <c r="AR222" s="242"/>
      <c r="AS222" s="166">
        <f t="shared" si="20"/>
        <v>0</v>
      </c>
      <c r="AU222" s="30">
        <f t="shared" ref="AU222:AX222" si="50">SUM(AU84:AU221)</f>
        <v>938311024.63999999</v>
      </c>
      <c r="AV222" s="30">
        <f t="shared" si="50"/>
        <v>0</v>
      </c>
      <c r="AW222" s="30">
        <f t="shared" si="50"/>
        <v>74652457304.965714</v>
      </c>
      <c r="AX222" s="30">
        <f t="shared" si="50"/>
        <v>0</v>
      </c>
      <c r="AY222" s="30">
        <f t="shared" si="24"/>
        <v>0</v>
      </c>
      <c r="AZ222" s="30">
        <f t="shared" ref="AZ222:BB222" si="51">SUM(AZ84:AZ221)</f>
        <v>0</v>
      </c>
      <c r="BA222" s="30">
        <f t="shared" si="51"/>
        <v>0</v>
      </c>
      <c r="BB222" s="39">
        <f t="shared" si="51"/>
        <v>0</v>
      </c>
    </row>
    <row r="223" spans="1:54">
      <c r="A223" s="168">
        <v>2064</v>
      </c>
      <c r="B223" s="2">
        <v>139183</v>
      </c>
      <c r="C223" s="2" t="s">
        <v>417</v>
      </c>
      <c r="E223" s="164">
        <v>0</v>
      </c>
      <c r="F223" s="164"/>
      <c r="G223" s="164">
        <v>0</v>
      </c>
      <c r="H223" s="164">
        <v>0</v>
      </c>
      <c r="I223" s="164">
        <v>0</v>
      </c>
      <c r="J223" s="164">
        <v>0</v>
      </c>
      <c r="K223" s="171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47"/>
      <c r="AG223" s="163"/>
      <c r="AH223" s="163"/>
      <c r="AI223" s="163"/>
      <c r="AJ223" s="163"/>
      <c r="AK223" s="163"/>
      <c r="AL223" s="163"/>
      <c r="AM223" s="163"/>
      <c r="AN223" s="239"/>
      <c r="AO223" s="239"/>
      <c r="AP223" s="242"/>
      <c r="AQ223" s="242"/>
      <c r="AR223" s="242"/>
      <c r="AS223" s="166">
        <f t="shared" si="20"/>
        <v>0</v>
      </c>
      <c r="AU223" s="30">
        <f t="shared" ref="AU223:AX223" si="52">SUM(AU85:AU222)</f>
        <v>1876622049.28</v>
      </c>
      <c r="AV223" s="30">
        <f t="shared" si="52"/>
        <v>0</v>
      </c>
      <c r="AW223" s="30">
        <f t="shared" si="52"/>
        <v>149304914609.93143</v>
      </c>
      <c r="AX223" s="30">
        <f t="shared" si="52"/>
        <v>0</v>
      </c>
      <c r="AY223" s="30">
        <f t="shared" si="24"/>
        <v>0</v>
      </c>
      <c r="AZ223" s="30">
        <f t="shared" ref="AZ223:BB223" si="53">SUM(AZ85:AZ222)</f>
        <v>0</v>
      </c>
      <c r="BA223" s="30">
        <f t="shared" si="53"/>
        <v>0</v>
      </c>
      <c r="BB223" s="39">
        <f t="shared" si="53"/>
        <v>0</v>
      </c>
    </row>
    <row r="224" spans="1:54">
      <c r="A224" s="168">
        <v>2018</v>
      </c>
      <c r="B224" s="2">
        <v>149872</v>
      </c>
      <c r="C224" s="2" t="s">
        <v>418</v>
      </c>
      <c r="E224" s="164">
        <v>0</v>
      </c>
      <c r="F224" s="164">
        <v>1680</v>
      </c>
      <c r="G224" s="164">
        <v>0</v>
      </c>
      <c r="H224" s="164">
        <v>0</v>
      </c>
      <c r="I224" s="164">
        <v>0</v>
      </c>
      <c r="J224" s="164">
        <v>0</v>
      </c>
      <c r="K224" s="171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47"/>
      <c r="AG224" s="163"/>
      <c r="AH224" s="163"/>
      <c r="AI224" s="163"/>
      <c r="AJ224" s="163"/>
      <c r="AK224" s="163"/>
      <c r="AL224" s="163"/>
      <c r="AM224" s="163"/>
      <c r="AN224" s="239"/>
      <c r="AO224" s="239"/>
      <c r="AP224" s="242"/>
      <c r="AQ224" s="242"/>
      <c r="AR224" s="242"/>
      <c r="AS224" s="166">
        <f t="shared" si="20"/>
        <v>1680</v>
      </c>
      <c r="AU224" s="30">
        <f t="shared" ref="AU224:AX224" si="54">SUM(AU86:AU223)</f>
        <v>3753236021.6300001</v>
      </c>
      <c r="AV224" s="30">
        <f t="shared" si="54"/>
        <v>0</v>
      </c>
      <c r="AW224" s="30">
        <f t="shared" si="54"/>
        <v>298609013694.04675</v>
      </c>
      <c r="AX224" s="30">
        <f t="shared" si="54"/>
        <v>0</v>
      </c>
      <c r="AY224" s="30">
        <f t="shared" si="24"/>
        <v>1680</v>
      </c>
      <c r="AZ224" s="30">
        <f t="shared" ref="AZ224:BB224" si="55">SUM(AZ86:AZ223)</f>
        <v>0</v>
      </c>
      <c r="BA224" s="30">
        <f t="shared" si="55"/>
        <v>0</v>
      </c>
      <c r="BB224" s="39">
        <f t="shared" si="55"/>
        <v>0</v>
      </c>
    </row>
    <row r="225" spans="1:54">
      <c r="A225" s="168">
        <v>2167</v>
      </c>
      <c r="B225" s="2">
        <v>142888</v>
      </c>
      <c r="C225" s="2" t="s">
        <v>419</v>
      </c>
      <c r="E225" s="164">
        <v>0</v>
      </c>
      <c r="F225" s="164"/>
      <c r="G225" s="164">
        <v>0</v>
      </c>
      <c r="H225" s="164">
        <v>0</v>
      </c>
      <c r="I225" s="164">
        <v>0</v>
      </c>
      <c r="J225" s="164">
        <v>0</v>
      </c>
      <c r="K225" s="171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47"/>
      <c r="AG225" s="163"/>
      <c r="AH225" s="163"/>
      <c r="AI225" s="163"/>
      <c r="AJ225" s="163"/>
      <c r="AK225" s="163"/>
      <c r="AL225" s="163"/>
      <c r="AM225" s="163"/>
      <c r="AN225" s="239"/>
      <c r="AO225" s="239"/>
      <c r="AP225" s="242"/>
      <c r="AQ225" s="242"/>
      <c r="AR225" s="242"/>
      <c r="AS225" s="166">
        <f t="shared" si="20"/>
        <v>0</v>
      </c>
      <c r="AU225" s="30">
        <f t="shared" ref="AU225:AX225" si="56">SUM(AU87:AU224)</f>
        <v>7506472043.2600002</v>
      </c>
      <c r="AV225" s="30">
        <f t="shared" si="56"/>
        <v>0</v>
      </c>
      <c r="AW225" s="30">
        <f t="shared" si="56"/>
        <v>597218027388.09351</v>
      </c>
      <c r="AX225" s="30">
        <f t="shared" si="56"/>
        <v>0</v>
      </c>
      <c r="AY225" s="30">
        <f t="shared" si="24"/>
        <v>0</v>
      </c>
      <c r="AZ225" s="30">
        <f t="shared" ref="AZ225:BB225" si="57">SUM(AZ87:AZ224)</f>
        <v>0</v>
      </c>
      <c r="BA225" s="30">
        <f t="shared" si="57"/>
        <v>0</v>
      </c>
      <c r="BB225" s="39">
        <f t="shared" si="57"/>
        <v>0</v>
      </c>
    </row>
    <row r="226" spans="1:54">
      <c r="A226" s="168">
        <v>2205</v>
      </c>
      <c r="B226" s="2">
        <v>147452</v>
      </c>
      <c r="C226" s="2" t="s">
        <v>420</v>
      </c>
      <c r="E226" s="164">
        <v>0</v>
      </c>
      <c r="F226" s="164"/>
      <c r="G226" s="164">
        <v>0</v>
      </c>
      <c r="H226" s="164">
        <v>0</v>
      </c>
      <c r="I226" s="164">
        <v>0</v>
      </c>
      <c r="J226" s="164">
        <v>0</v>
      </c>
      <c r="K226" s="171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47"/>
      <c r="AG226" s="163"/>
      <c r="AH226" s="163"/>
      <c r="AI226" s="163"/>
      <c r="AJ226" s="163"/>
      <c r="AK226" s="163"/>
      <c r="AL226" s="163"/>
      <c r="AM226" s="163"/>
      <c r="AN226" s="239"/>
      <c r="AO226" s="239"/>
      <c r="AP226" s="242"/>
      <c r="AQ226" s="242"/>
      <c r="AR226" s="242"/>
      <c r="AS226" s="166">
        <f t="shared" si="20"/>
        <v>0</v>
      </c>
      <c r="AU226" s="30">
        <f t="shared" ref="AU226:AX226" si="58">SUM(AU88:AU225)</f>
        <v>15012944086.52</v>
      </c>
      <c r="AV226" s="30">
        <f t="shared" si="58"/>
        <v>0</v>
      </c>
      <c r="AW226" s="30">
        <f t="shared" si="58"/>
        <v>1194436054776.187</v>
      </c>
      <c r="AX226" s="30">
        <f t="shared" si="58"/>
        <v>0</v>
      </c>
      <c r="AY226" s="30">
        <f t="shared" si="24"/>
        <v>0</v>
      </c>
      <c r="AZ226" s="30">
        <f t="shared" ref="AZ226:BB226" si="59">SUM(AZ88:AZ225)</f>
        <v>0</v>
      </c>
      <c r="BA226" s="30">
        <f t="shared" si="59"/>
        <v>0</v>
      </c>
      <c r="BB226" s="39">
        <f t="shared" si="59"/>
        <v>0</v>
      </c>
    </row>
    <row r="227" spans="1:54">
      <c r="A227" s="168">
        <v>2249</v>
      </c>
      <c r="B227" s="2">
        <v>139860</v>
      </c>
      <c r="C227" s="2" t="s">
        <v>421</v>
      </c>
      <c r="E227" s="164">
        <v>0</v>
      </c>
      <c r="F227" s="164"/>
      <c r="G227" s="164">
        <v>0</v>
      </c>
      <c r="H227" s="164">
        <v>0</v>
      </c>
      <c r="I227" s="164">
        <v>0</v>
      </c>
      <c r="J227" s="164">
        <v>0</v>
      </c>
      <c r="K227" s="171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47"/>
      <c r="AG227" s="163"/>
      <c r="AH227" s="163"/>
      <c r="AI227" s="163"/>
      <c r="AJ227" s="163"/>
      <c r="AK227" s="163"/>
      <c r="AL227" s="163"/>
      <c r="AM227" s="163"/>
      <c r="AN227" s="239"/>
      <c r="AO227" s="239"/>
      <c r="AP227" s="242"/>
      <c r="AQ227" s="242"/>
      <c r="AR227" s="242"/>
      <c r="AS227" s="166">
        <f t="shared" si="20"/>
        <v>0</v>
      </c>
      <c r="AU227" s="30">
        <f t="shared" ref="AU227:AX227" si="60">SUM(AU89:AU226)</f>
        <v>30025888173.040001</v>
      </c>
      <c r="AV227" s="30">
        <f t="shared" si="60"/>
        <v>0</v>
      </c>
      <c r="AW227" s="30">
        <f t="shared" si="60"/>
        <v>2388872109552.374</v>
      </c>
      <c r="AX227" s="30">
        <f t="shared" si="60"/>
        <v>0</v>
      </c>
      <c r="AY227" s="30">
        <f t="shared" si="24"/>
        <v>0</v>
      </c>
      <c r="AZ227" s="30">
        <f t="shared" ref="AZ227:BB227" si="61">SUM(AZ89:AZ226)</f>
        <v>0</v>
      </c>
      <c r="BA227" s="30">
        <f t="shared" si="61"/>
        <v>0</v>
      </c>
      <c r="BB227" s="39">
        <f t="shared" si="61"/>
        <v>0</v>
      </c>
    </row>
    <row r="228" spans="1:54">
      <c r="A228" s="168">
        <v>2447</v>
      </c>
      <c r="B228" s="2">
        <v>143087</v>
      </c>
      <c r="C228" s="2" t="s">
        <v>422</v>
      </c>
      <c r="E228" s="164">
        <v>0</v>
      </c>
      <c r="F228" s="164"/>
      <c r="G228" s="164">
        <v>0</v>
      </c>
      <c r="H228" s="164">
        <v>0</v>
      </c>
      <c r="I228" s="164">
        <v>0</v>
      </c>
      <c r="J228" s="164">
        <v>0</v>
      </c>
      <c r="K228" s="171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47"/>
      <c r="AG228" s="163"/>
      <c r="AH228" s="163"/>
      <c r="AI228" s="163"/>
      <c r="AJ228" s="163"/>
      <c r="AK228" s="163"/>
      <c r="AL228" s="163"/>
      <c r="AM228" s="163"/>
      <c r="AN228" s="239"/>
      <c r="AO228" s="239"/>
      <c r="AP228" s="242"/>
      <c r="AQ228" s="242"/>
      <c r="AR228" s="242"/>
      <c r="AS228" s="166">
        <f t="shared" si="20"/>
        <v>0</v>
      </c>
      <c r="AU228" s="30">
        <f t="shared" ref="AU228:AX228" si="62">SUM(AU90:AU227)</f>
        <v>60051776346.080002</v>
      </c>
      <c r="AV228" s="30">
        <f t="shared" si="62"/>
        <v>0</v>
      </c>
      <c r="AW228" s="30">
        <f t="shared" si="62"/>
        <v>4777744219104.748</v>
      </c>
      <c r="AX228" s="30">
        <f t="shared" si="62"/>
        <v>0</v>
      </c>
      <c r="AY228" s="30">
        <f t="shared" si="24"/>
        <v>0</v>
      </c>
      <c r="AZ228" s="30">
        <f t="shared" ref="AZ228:BB228" si="63">SUM(AZ90:AZ227)</f>
        <v>0</v>
      </c>
      <c r="BA228" s="30">
        <f t="shared" si="63"/>
        <v>0</v>
      </c>
      <c r="BB228" s="39">
        <f t="shared" si="63"/>
        <v>0</v>
      </c>
    </row>
    <row r="229" spans="1:54">
      <c r="A229" s="168">
        <v>3325</v>
      </c>
      <c r="B229" s="2">
        <v>148439</v>
      </c>
      <c r="C229" s="2" t="s">
        <v>423</v>
      </c>
      <c r="E229" s="164">
        <v>0</v>
      </c>
      <c r="F229" s="164"/>
      <c r="G229" s="164">
        <v>0</v>
      </c>
      <c r="H229" s="164">
        <v>0</v>
      </c>
      <c r="I229" s="164">
        <v>0</v>
      </c>
      <c r="J229" s="164">
        <v>0</v>
      </c>
      <c r="K229" s="171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47"/>
      <c r="AG229" s="163"/>
      <c r="AH229" s="163"/>
      <c r="AI229" s="163"/>
      <c r="AJ229" s="163"/>
      <c r="AK229" s="163"/>
      <c r="AL229" s="163"/>
      <c r="AM229" s="163"/>
      <c r="AN229" s="239"/>
      <c r="AO229" s="239"/>
      <c r="AP229" s="242"/>
      <c r="AQ229" s="242"/>
      <c r="AR229" s="242"/>
      <c r="AS229" s="166">
        <f t="shared" si="20"/>
        <v>0</v>
      </c>
      <c r="AU229" s="30">
        <f t="shared" ref="AU229:AX229" si="64">SUM(AU91:AU228)</f>
        <v>120103552692.16</v>
      </c>
      <c r="AV229" s="30">
        <f t="shared" si="64"/>
        <v>0</v>
      </c>
      <c r="AW229" s="30">
        <f t="shared" si="64"/>
        <v>9555488438209.4961</v>
      </c>
      <c r="AX229" s="30">
        <f t="shared" si="64"/>
        <v>0</v>
      </c>
      <c r="AY229" s="30">
        <f t="shared" si="24"/>
        <v>0</v>
      </c>
      <c r="AZ229" s="30">
        <f t="shared" ref="AZ229:BB229" si="65">SUM(AZ91:AZ228)</f>
        <v>0</v>
      </c>
      <c r="BA229" s="30">
        <f t="shared" si="65"/>
        <v>0</v>
      </c>
      <c r="BB229" s="39">
        <f t="shared" si="65"/>
        <v>0</v>
      </c>
    </row>
    <row r="230" spans="1:54">
      <c r="A230" s="168">
        <v>4027</v>
      </c>
      <c r="B230" s="2">
        <v>144721</v>
      </c>
      <c r="C230" s="2" t="s">
        <v>424</v>
      </c>
      <c r="E230" s="164">
        <v>0</v>
      </c>
      <c r="F230" s="164"/>
      <c r="G230" s="164">
        <v>0</v>
      </c>
      <c r="H230" s="164">
        <v>0</v>
      </c>
      <c r="I230" s="164">
        <v>0</v>
      </c>
      <c r="J230" s="164">
        <v>0</v>
      </c>
      <c r="K230" s="171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47"/>
      <c r="AG230" s="163"/>
      <c r="AH230" s="163"/>
      <c r="AI230" s="163"/>
      <c r="AJ230" s="163"/>
      <c r="AK230" s="163"/>
      <c r="AL230" s="163"/>
      <c r="AM230" s="163"/>
      <c r="AN230" s="239"/>
      <c r="AO230" s="239"/>
      <c r="AP230" s="242"/>
      <c r="AQ230" s="242"/>
      <c r="AR230" s="242"/>
      <c r="AS230" s="166">
        <f t="shared" si="20"/>
        <v>0</v>
      </c>
      <c r="AU230" s="30">
        <f t="shared" ref="AU230:AX230" si="66">SUM(AU92:AU229)</f>
        <v>240207105384.32001</v>
      </c>
      <c r="AV230" s="30">
        <f t="shared" si="66"/>
        <v>0</v>
      </c>
      <c r="AW230" s="30">
        <f t="shared" si="66"/>
        <v>19110976876418.992</v>
      </c>
      <c r="AX230" s="30">
        <f t="shared" si="66"/>
        <v>0</v>
      </c>
      <c r="AY230" s="30">
        <f t="shared" si="24"/>
        <v>0</v>
      </c>
      <c r="AZ230" s="30">
        <f t="shared" ref="AZ230:BB230" si="67">SUM(AZ92:AZ229)</f>
        <v>0</v>
      </c>
      <c r="BA230" s="30">
        <f t="shared" si="67"/>
        <v>0</v>
      </c>
      <c r="BB230" s="39">
        <f t="shared" si="67"/>
        <v>0</v>
      </c>
    </row>
    <row r="231" spans="1:54">
      <c r="A231" s="168">
        <v>2058</v>
      </c>
      <c r="B231" s="2">
        <v>138425</v>
      </c>
      <c r="C231" s="2" t="s">
        <v>425</v>
      </c>
      <c r="E231" s="164">
        <v>0</v>
      </c>
      <c r="F231" s="164"/>
      <c r="G231" s="164">
        <v>0</v>
      </c>
      <c r="H231" s="164">
        <v>0</v>
      </c>
      <c r="I231" s="164">
        <v>0</v>
      </c>
      <c r="J231" s="164">
        <v>0</v>
      </c>
      <c r="K231" s="171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47"/>
      <c r="AG231" s="163"/>
      <c r="AH231" s="163"/>
      <c r="AI231" s="163"/>
      <c r="AJ231" s="163"/>
      <c r="AK231" s="163"/>
      <c r="AL231" s="163"/>
      <c r="AM231" s="163"/>
      <c r="AN231" s="239"/>
      <c r="AO231" s="239"/>
      <c r="AP231" s="242"/>
      <c r="AQ231" s="242"/>
      <c r="AR231" s="242"/>
      <c r="AS231" s="166">
        <f t="shared" si="20"/>
        <v>0</v>
      </c>
      <c r="AU231" s="30">
        <f t="shared" ref="AU231:AX231" si="68">SUM(AU93:AU230)</f>
        <v>480414210768.64001</v>
      </c>
      <c r="AV231" s="30">
        <f t="shared" si="68"/>
        <v>0</v>
      </c>
      <c r="AW231" s="30">
        <f t="shared" si="68"/>
        <v>38221953752837.984</v>
      </c>
      <c r="AX231" s="30">
        <f t="shared" si="68"/>
        <v>0</v>
      </c>
      <c r="AY231" s="30">
        <f t="shared" si="24"/>
        <v>0</v>
      </c>
      <c r="AZ231" s="30">
        <f t="shared" ref="AZ231:BB231" si="69">SUM(AZ93:AZ230)</f>
        <v>0</v>
      </c>
      <c r="BA231" s="30">
        <f t="shared" si="69"/>
        <v>0</v>
      </c>
      <c r="BB231" s="39">
        <f t="shared" si="69"/>
        <v>0</v>
      </c>
    </row>
    <row r="232" spans="1:54">
      <c r="A232" s="168">
        <v>4014</v>
      </c>
      <c r="B232" s="2">
        <v>140863</v>
      </c>
      <c r="C232" s="2" t="s">
        <v>426</v>
      </c>
      <c r="E232" s="164">
        <v>0</v>
      </c>
      <c r="F232" s="164"/>
      <c r="G232" s="164">
        <v>0</v>
      </c>
      <c r="H232" s="164">
        <v>0</v>
      </c>
      <c r="I232" s="164">
        <v>0</v>
      </c>
      <c r="J232" s="164">
        <v>0</v>
      </c>
      <c r="K232" s="171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47"/>
      <c r="AG232" s="163"/>
      <c r="AH232" s="163"/>
      <c r="AI232" s="163"/>
      <c r="AJ232" s="163"/>
      <c r="AK232" s="163"/>
      <c r="AL232" s="163"/>
      <c r="AM232" s="163"/>
      <c r="AN232" s="239"/>
      <c r="AO232" s="239"/>
      <c r="AP232" s="242"/>
      <c r="AQ232" s="242"/>
      <c r="AR232" s="242"/>
      <c r="AS232" s="166">
        <f t="shared" si="20"/>
        <v>0</v>
      </c>
      <c r="AU232" s="30">
        <f t="shared" ref="AU232:AX232" si="70">SUM(AU94:AU231)</f>
        <v>960828421537.28003</v>
      </c>
      <c r="AV232" s="30">
        <f t="shared" si="70"/>
        <v>0</v>
      </c>
      <c r="AW232" s="30">
        <f t="shared" si="70"/>
        <v>76443907505675.969</v>
      </c>
      <c r="AX232" s="30">
        <f t="shared" si="70"/>
        <v>0</v>
      </c>
      <c r="AY232" s="30">
        <f t="shared" si="24"/>
        <v>0</v>
      </c>
      <c r="AZ232" s="30">
        <f t="shared" ref="AZ232:BB232" si="71">SUM(AZ94:AZ231)</f>
        <v>0</v>
      </c>
      <c r="BA232" s="30">
        <f t="shared" si="71"/>
        <v>0</v>
      </c>
      <c r="BB232" s="39">
        <f t="shared" si="71"/>
        <v>0</v>
      </c>
    </row>
    <row r="233" spans="1:54">
      <c r="A233" s="168">
        <v>4024</v>
      </c>
      <c r="B233" s="2">
        <v>144306</v>
      </c>
      <c r="C233" s="2" t="s">
        <v>427</v>
      </c>
      <c r="E233" s="164">
        <v>0</v>
      </c>
      <c r="F233" s="164"/>
      <c r="G233" s="164">
        <v>0</v>
      </c>
      <c r="H233" s="164">
        <v>0</v>
      </c>
      <c r="I233" s="164">
        <v>0</v>
      </c>
      <c r="J233" s="164">
        <v>0</v>
      </c>
      <c r="K233" s="171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47"/>
      <c r="AG233" s="163"/>
      <c r="AH233" s="163"/>
      <c r="AI233" s="163"/>
      <c r="AJ233" s="163"/>
      <c r="AK233" s="163"/>
      <c r="AL233" s="163"/>
      <c r="AM233" s="163"/>
      <c r="AN233" s="239"/>
      <c r="AO233" s="239"/>
      <c r="AP233" s="242"/>
      <c r="AQ233" s="242"/>
      <c r="AR233" s="242"/>
      <c r="AS233" s="166">
        <f t="shared" si="20"/>
        <v>0</v>
      </c>
      <c r="AU233" s="30">
        <f t="shared" ref="AU233:AX233" si="72">SUM(AU95:AU232)</f>
        <v>1921656843074.5601</v>
      </c>
      <c r="AV233" s="30">
        <f t="shared" si="72"/>
        <v>0</v>
      </c>
      <c r="AW233" s="30">
        <f t="shared" si="72"/>
        <v>152887815011351.94</v>
      </c>
      <c r="AX233" s="30">
        <f t="shared" si="72"/>
        <v>0</v>
      </c>
      <c r="AY233" s="30">
        <f t="shared" si="24"/>
        <v>0</v>
      </c>
      <c r="AZ233" s="30">
        <f t="shared" ref="AZ233:BB233" si="73">SUM(AZ95:AZ232)</f>
        <v>0</v>
      </c>
      <c r="BA233" s="30">
        <f t="shared" si="73"/>
        <v>0</v>
      </c>
      <c r="BB233" s="39">
        <f t="shared" si="73"/>
        <v>0</v>
      </c>
    </row>
    <row r="234" spans="1:54">
      <c r="A234" s="168">
        <v>2195</v>
      </c>
      <c r="B234" s="2">
        <v>138104</v>
      </c>
      <c r="C234" s="2" t="s">
        <v>428</v>
      </c>
      <c r="E234" s="164">
        <v>0</v>
      </c>
      <c r="F234" s="164">
        <v>1470</v>
      </c>
      <c r="G234" s="164">
        <v>0</v>
      </c>
      <c r="H234" s="164">
        <v>0</v>
      </c>
      <c r="I234" s="164">
        <v>0</v>
      </c>
      <c r="J234" s="164">
        <v>0</v>
      </c>
      <c r="K234" s="171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47"/>
      <c r="AG234" s="163"/>
      <c r="AH234" s="163"/>
      <c r="AI234" s="163"/>
      <c r="AJ234" s="163"/>
      <c r="AK234" s="163"/>
      <c r="AL234" s="163"/>
      <c r="AM234" s="163"/>
      <c r="AN234" s="239"/>
      <c r="AO234" s="239"/>
      <c r="AP234" s="242"/>
      <c r="AQ234" s="242"/>
      <c r="AR234" s="242"/>
      <c r="AS234" s="166">
        <f t="shared" si="20"/>
        <v>1470</v>
      </c>
      <c r="AU234" s="30">
        <f t="shared" ref="AU234:AX234" si="74">SUM(AU96:AU233)</f>
        <v>3843313686149.1201</v>
      </c>
      <c r="AV234" s="30">
        <f t="shared" si="74"/>
        <v>0</v>
      </c>
      <c r="AW234" s="30">
        <f t="shared" si="74"/>
        <v>305775630022703.88</v>
      </c>
      <c r="AX234" s="30">
        <f t="shared" si="74"/>
        <v>0</v>
      </c>
      <c r="AY234" s="30">
        <f t="shared" si="24"/>
        <v>1470</v>
      </c>
      <c r="AZ234" s="30">
        <f t="shared" ref="AZ234:BB234" si="75">SUM(AZ96:AZ233)</f>
        <v>0</v>
      </c>
      <c r="BA234" s="30">
        <f t="shared" si="75"/>
        <v>0</v>
      </c>
      <c r="BB234" s="39">
        <f t="shared" si="75"/>
        <v>0</v>
      </c>
    </row>
    <row r="235" spans="1:54">
      <c r="A235" s="168">
        <v>1112</v>
      </c>
      <c r="B235" s="2">
        <v>146731</v>
      </c>
      <c r="C235" s="2" t="s">
        <v>429</v>
      </c>
      <c r="E235" s="164">
        <v>103242.6949416604</v>
      </c>
      <c r="F235" s="164"/>
      <c r="G235" s="164">
        <v>24931.05248241486</v>
      </c>
      <c r="H235" s="164">
        <v>17039.57</v>
      </c>
      <c r="I235" s="164">
        <v>652.91</v>
      </c>
      <c r="J235" s="164">
        <v>871.04</v>
      </c>
      <c r="K235" s="171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47"/>
      <c r="AG235" s="163"/>
      <c r="AH235" s="163"/>
      <c r="AI235" s="163"/>
      <c r="AJ235" s="163"/>
      <c r="AK235" s="163"/>
      <c r="AL235" s="163"/>
      <c r="AM235" s="163"/>
      <c r="AN235" s="239"/>
      <c r="AO235" s="239"/>
      <c r="AP235" s="242"/>
      <c r="AQ235" s="242"/>
      <c r="AR235" s="242"/>
      <c r="AS235" s="166">
        <f t="shared" si="20"/>
        <v>146737.26742407528</v>
      </c>
      <c r="AU235" s="30">
        <f t="shared" ref="AU235:AX235" si="76">SUM(AU97:AU234)</f>
        <v>7686627372298.2402</v>
      </c>
      <c r="AV235" s="30">
        <f t="shared" si="76"/>
        <v>0</v>
      </c>
      <c r="AW235" s="30">
        <f t="shared" si="76"/>
        <v>611551260045407.75</v>
      </c>
      <c r="AX235" s="30">
        <f t="shared" si="76"/>
        <v>0</v>
      </c>
      <c r="AY235" s="30">
        <f t="shared" si="24"/>
        <v>0</v>
      </c>
      <c r="AZ235" s="30">
        <f t="shared" ref="AZ235:BB235" si="77">SUM(AZ97:AZ234)</f>
        <v>0</v>
      </c>
      <c r="BA235" s="30">
        <f t="shared" si="77"/>
        <v>0</v>
      </c>
      <c r="BB235" s="39">
        <f t="shared" si="77"/>
        <v>0</v>
      </c>
    </row>
    <row r="236" spans="1:54">
      <c r="A236" s="168">
        <v>1108</v>
      </c>
      <c r="B236" s="2">
        <v>139731</v>
      </c>
      <c r="C236" s="2" t="s">
        <v>430</v>
      </c>
      <c r="E236" s="164">
        <v>214744.80547865364</v>
      </c>
      <c r="F236" s="164"/>
      <c r="G236" s="164">
        <v>51856.589163422905</v>
      </c>
      <c r="H236" s="164">
        <v>35442.300000000003</v>
      </c>
      <c r="I236" s="164">
        <v>1358.06</v>
      </c>
      <c r="J236" s="164">
        <v>1811.75</v>
      </c>
      <c r="K236" s="171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47"/>
      <c r="AG236" s="163"/>
      <c r="AH236" s="163"/>
      <c r="AI236" s="163"/>
      <c r="AJ236" s="163"/>
      <c r="AK236" s="163"/>
      <c r="AL236" s="163"/>
      <c r="AM236" s="163"/>
      <c r="AN236" s="239"/>
      <c r="AO236" s="239"/>
      <c r="AP236" s="242"/>
      <c r="AQ236" s="242"/>
      <c r="AR236" s="242"/>
      <c r="AS236" s="166">
        <f t="shared" si="20"/>
        <v>305213.50464207656</v>
      </c>
      <c r="AU236" s="30">
        <f t="shared" ref="AU236:AX236" si="78">SUM(AU98:AU235)</f>
        <v>15373254744596.48</v>
      </c>
      <c r="AV236" s="30">
        <f t="shared" si="78"/>
        <v>0</v>
      </c>
      <c r="AW236" s="30">
        <f t="shared" si="78"/>
        <v>1223102520090815.5</v>
      </c>
      <c r="AX236" s="30">
        <f t="shared" si="78"/>
        <v>0</v>
      </c>
      <c r="AY236" s="30">
        <f t="shared" si="24"/>
        <v>0</v>
      </c>
      <c r="AZ236" s="30">
        <f t="shared" ref="AZ236:BB236" si="79">SUM(AZ98:AZ235)</f>
        <v>0</v>
      </c>
      <c r="BA236" s="30">
        <f t="shared" si="79"/>
        <v>0</v>
      </c>
      <c r="BB236" s="39">
        <f t="shared" si="79"/>
        <v>0</v>
      </c>
    </row>
    <row r="237" spans="1:54">
      <c r="A237" s="168">
        <v>2126</v>
      </c>
      <c r="B237" s="2">
        <v>139439</v>
      </c>
      <c r="C237" s="2" t="s">
        <v>431</v>
      </c>
      <c r="E237" s="164">
        <v>0</v>
      </c>
      <c r="F237" s="164"/>
      <c r="G237" s="164">
        <v>0</v>
      </c>
      <c r="H237" s="164">
        <v>0</v>
      </c>
      <c r="I237" s="164">
        <v>0</v>
      </c>
      <c r="J237" s="164">
        <v>0</v>
      </c>
      <c r="K237" s="171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47"/>
      <c r="AG237" s="163"/>
      <c r="AH237" s="163"/>
      <c r="AI237" s="163"/>
      <c r="AJ237" s="163"/>
      <c r="AK237" s="163"/>
      <c r="AL237" s="163"/>
      <c r="AM237" s="163"/>
      <c r="AN237" s="239"/>
      <c r="AO237" s="239"/>
      <c r="AP237" s="242"/>
      <c r="AQ237" s="242"/>
      <c r="AR237" s="242"/>
      <c r="AS237" s="166">
        <f t="shared" si="20"/>
        <v>0</v>
      </c>
      <c r="AU237" s="30">
        <f t="shared" ref="AU237:AX237" si="80">SUM(AU99:AU236)</f>
        <v>30746509489192.961</v>
      </c>
      <c r="AV237" s="30">
        <f t="shared" si="80"/>
        <v>0</v>
      </c>
      <c r="AW237" s="30">
        <f t="shared" si="80"/>
        <v>2446205040181631</v>
      </c>
      <c r="AX237" s="30">
        <f t="shared" si="80"/>
        <v>0</v>
      </c>
      <c r="AY237" s="30">
        <f t="shared" si="24"/>
        <v>0</v>
      </c>
      <c r="AZ237" s="30">
        <f t="shared" ref="AZ237:BB237" si="81">SUM(AZ99:AZ236)</f>
        <v>0</v>
      </c>
      <c r="BA237" s="30">
        <f t="shared" si="81"/>
        <v>0</v>
      </c>
      <c r="BB237" s="39">
        <f t="shared" si="81"/>
        <v>0</v>
      </c>
    </row>
    <row r="238" spans="1:54">
      <c r="A238" s="168">
        <v>2273</v>
      </c>
      <c r="B238" s="2">
        <v>143091</v>
      </c>
      <c r="C238" s="2" t="s">
        <v>432</v>
      </c>
      <c r="E238" s="164">
        <v>0</v>
      </c>
      <c r="F238" s="164"/>
      <c r="G238" s="164">
        <v>0</v>
      </c>
      <c r="H238" s="164">
        <v>0</v>
      </c>
      <c r="I238" s="164">
        <v>0</v>
      </c>
      <c r="J238" s="164">
        <v>0</v>
      </c>
      <c r="K238" s="171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47"/>
      <c r="AG238" s="163"/>
      <c r="AH238" s="163"/>
      <c r="AI238" s="163"/>
      <c r="AJ238" s="163"/>
      <c r="AK238" s="163"/>
      <c r="AL238" s="163"/>
      <c r="AM238" s="163"/>
      <c r="AN238" s="239"/>
      <c r="AO238" s="239"/>
      <c r="AP238" s="242"/>
      <c r="AQ238" s="242"/>
      <c r="AR238" s="242"/>
      <c r="AS238" s="166">
        <f t="shared" si="20"/>
        <v>0</v>
      </c>
      <c r="AU238" s="30">
        <f t="shared" ref="AU238:AX238" si="82">SUM(AU100:AU237)</f>
        <v>61493018978385.922</v>
      </c>
      <c r="AV238" s="30">
        <f t="shared" si="82"/>
        <v>0</v>
      </c>
      <c r="AW238" s="30">
        <f t="shared" si="82"/>
        <v>4892410080363262</v>
      </c>
      <c r="AX238" s="30">
        <f t="shared" si="82"/>
        <v>0</v>
      </c>
      <c r="AY238" s="30">
        <f t="shared" si="24"/>
        <v>0</v>
      </c>
      <c r="AZ238" s="30">
        <f t="shared" ref="AZ238:BB238" si="83">SUM(AZ100:AZ237)</f>
        <v>0</v>
      </c>
      <c r="BA238" s="30">
        <f t="shared" si="83"/>
        <v>0</v>
      </c>
      <c r="BB238" s="39">
        <f t="shared" si="83"/>
        <v>0</v>
      </c>
    </row>
    <row r="239" spans="1:54">
      <c r="A239" s="168">
        <v>2145</v>
      </c>
      <c r="B239" s="2">
        <v>141206</v>
      </c>
      <c r="C239" s="2" t="s">
        <v>433</v>
      </c>
      <c r="E239" s="164">
        <v>0</v>
      </c>
      <c r="F239" s="164"/>
      <c r="G239" s="164">
        <v>0</v>
      </c>
      <c r="H239" s="164">
        <v>0</v>
      </c>
      <c r="I239" s="164">
        <v>0</v>
      </c>
      <c r="J239" s="164">
        <v>0</v>
      </c>
      <c r="K239" s="171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47"/>
      <c r="AG239" s="163"/>
      <c r="AH239" s="163"/>
      <c r="AI239" s="163"/>
      <c r="AJ239" s="163"/>
      <c r="AK239" s="163"/>
      <c r="AL239" s="163"/>
      <c r="AM239" s="163"/>
      <c r="AN239" s="239"/>
      <c r="AO239" s="239"/>
      <c r="AP239" s="242"/>
      <c r="AQ239" s="242"/>
      <c r="AR239" s="242"/>
      <c r="AS239" s="166">
        <f t="shared" si="20"/>
        <v>0</v>
      </c>
      <c r="AU239" s="30">
        <f t="shared" ref="AU239:AX239" si="84">SUM(AU101:AU238)</f>
        <v>122986037956771.84</v>
      </c>
      <c r="AV239" s="30">
        <f t="shared" si="84"/>
        <v>0</v>
      </c>
      <c r="AW239" s="30">
        <f t="shared" si="84"/>
        <v>9784820160726524</v>
      </c>
      <c r="AX239" s="30">
        <f t="shared" si="84"/>
        <v>0</v>
      </c>
      <c r="AY239" s="30">
        <f t="shared" si="24"/>
        <v>0</v>
      </c>
      <c r="AZ239" s="30">
        <f t="shared" ref="AZ239:BB239" si="85">SUM(AZ101:AZ238)</f>
        <v>0</v>
      </c>
      <c r="BA239" s="30">
        <f t="shared" si="85"/>
        <v>0</v>
      </c>
      <c r="BB239" s="39">
        <f t="shared" si="85"/>
        <v>0</v>
      </c>
    </row>
    <row r="240" spans="1:54">
      <c r="A240" s="168">
        <v>4040</v>
      </c>
      <c r="B240" s="2">
        <v>148521</v>
      </c>
      <c r="C240" s="2" t="s">
        <v>434</v>
      </c>
      <c r="E240" s="164">
        <v>0</v>
      </c>
      <c r="F240" s="164"/>
      <c r="G240" s="164">
        <v>0</v>
      </c>
      <c r="H240" s="164">
        <v>0</v>
      </c>
      <c r="I240" s="164">
        <v>0</v>
      </c>
      <c r="J240" s="164">
        <v>0</v>
      </c>
      <c r="K240" s="171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47"/>
      <c r="AG240" s="163"/>
      <c r="AH240" s="163"/>
      <c r="AI240" s="163"/>
      <c r="AJ240" s="163"/>
      <c r="AK240" s="163"/>
      <c r="AL240" s="163"/>
      <c r="AM240" s="163"/>
      <c r="AN240" s="239"/>
      <c r="AO240" s="239"/>
      <c r="AP240" s="242"/>
      <c r="AQ240" s="242"/>
      <c r="AR240" s="242"/>
      <c r="AS240" s="166">
        <f t="shared" si="20"/>
        <v>0</v>
      </c>
      <c r="AU240" s="30">
        <f t="shared" ref="AU240:AX240" si="86">SUM(AU102:AU239)</f>
        <v>245972075913543.69</v>
      </c>
      <c r="AV240" s="30">
        <f t="shared" si="86"/>
        <v>0</v>
      </c>
      <c r="AW240" s="30">
        <f t="shared" si="86"/>
        <v>1.9569640321453048E+16</v>
      </c>
      <c r="AX240" s="30">
        <f t="shared" si="86"/>
        <v>0</v>
      </c>
      <c r="AY240" s="30">
        <f t="shared" si="24"/>
        <v>0</v>
      </c>
      <c r="AZ240" s="30">
        <f t="shared" ref="AZ240:BB240" si="87">SUM(AZ102:AZ239)</f>
        <v>0</v>
      </c>
      <c r="BA240" s="30">
        <f t="shared" si="87"/>
        <v>0</v>
      </c>
      <c r="BB240" s="39">
        <f t="shared" si="87"/>
        <v>0</v>
      </c>
    </row>
    <row r="241" spans="1:54">
      <c r="A241" s="168">
        <v>2175</v>
      </c>
      <c r="B241" s="2">
        <v>144390</v>
      </c>
      <c r="C241" s="2" t="s">
        <v>435</v>
      </c>
      <c r="E241" s="164">
        <v>0</v>
      </c>
      <c r="F241" s="164"/>
      <c r="G241" s="164">
        <v>0</v>
      </c>
      <c r="H241" s="164">
        <v>0</v>
      </c>
      <c r="I241" s="164">
        <v>0</v>
      </c>
      <c r="J241" s="164">
        <v>0</v>
      </c>
      <c r="K241" s="171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47"/>
      <c r="AG241" s="163"/>
      <c r="AH241" s="163"/>
      <c r="AI241" s="163"/>
      <c r="AJ241" s="163"/>
      <c r="AK241" s="163"/>
      <c r="AL241" s="163"/>
      <c r="AM241" s="163"/>
      <c r="AN241" s="239"/>
      <c r="AO241" s="239"/>
      <c r="AP241" s="242"/>
      <c r="AQ241" s="242"/>
      <c r="AR241" s="242"/>
      <c r="AS241" s="166">
        <f t="shared" si="20"/>
        <v>0</v>
      </c>
      <c r="AU241" s="30">
        <f t="shared" ref="AU241:AX241" si="88">SUM(AU103:AU240)</f>
        <v>491944151827087.38</v>
      </c>
      <c r="AV241" s="30">
        <f t="shared" si="88"/>
        <v>0</v>
      </c>
      <c r="AW241" s="30">
        <f t="shared" si="88"/>
        <v>3.9139280642906096E+16</v>
      </c>
      <c r="AX241" s="30">
        <f t="shared" si="88"/>
        <v>0</v>
      </c>
      <c r="AY241" s="30">
        <f t="shared" si="24"/>
        <v>0</v>
      </c>
      <c r="AZ241" s="30">
        <f t="shared" ref="AZ241:BB241" si="89">SUM(AZ103:AZ240)</f>
        <v>0</v>
      </c>
      <c r="BA241" s="30">
        <f t="shared" si="89"/>
        <v>0</v>
      </c>
      <c r="BB241" s="39">
        <f t="shared" si="89"/>
        <v>0</v>
      </c>
    </row>
    <row r="242" spans="1:54">
      <c r="A242" s="168">
        <v>2449</v>
      </c>
      <c r="B242" s="2">
        <v>140518</v>
      </c>
      <c r="C242" s="2" t="s">
        <v>436</v>
      </c>
      <c r="E242" s="164">
        <v>0</v>
      </c>
      <c r="F242" s="164"/>
      <c r="G242" s="164">
        <v>0</v>
      </c>
      <c r="H242" s="164">
        <v>0</v>
      </c>
      <c r="I242" s="164">
        <v>0</v>
      </c>
      <c r="J242" s="164">
        <v>0</v>
      </c>
      <c r="K242" s="171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47"/>
      <c r="AG242" s="163"/>
      <c r="AH242" s="163"/>
      <c r="AI242" s="163"/>
      <c r="AJ242" s="163"/>
      <c r="AK242" s="163"/>
      <c r="AL242" s="163"/>
      <c r="AM242" s="163"/>
      <c r="AN242" s="239"/>
      <c r="AO242" s="239"/>
      <c r="AP242" s="242"/>
      <c r="AQ242" s="242"/>
      <c r="AR242" s="242"/>
      <c r="AS242" s="166">
        <f t="shared" si="20"/>
        <v>0</v>
      </c>
      <c r="AU242" s="30">
        <f t="shared" ref="AU242:AX242" si="90">SUM(AU104:AU241)</f>
        <v>983888303654174.75</v>
      </c>
      <c r="AV242" s="30">
        <f t="shared" si="90"/>
        <v>0</v>
      </c>
      <c r="AW242" s="30">
        <f t="shared" si="90"/>
        <v>7.8278561285812192E+16</v>
      </c>
      <c r="AX242" s="30">
        <f t="shared" si="90"/>
        <v>0</v>
      </c>
      <c r="AY242" s="30">
        <f t="shared" si="24"/>
        <v>0</v>
      </c>
      <c r="AZ242" s="30">
        <f t="shared" ref="AZ242:BB242" si="91">SUM(AZ104:AZ241)</f>
        <v>0</v>
      </c>
      <c r="BA242" s="30">
        <f t="shared" si="91"/>
        <v>0</v>
      </c>
      <c r="BB242" s="39">
        <f t="shared" si="91"/>
        <v>0</v>
      </c>
    </row>
    <row r="243" spans="1:54">
      <c r="A243" s="168">
        <v>2068</v>
      </c>
      <c r="B243" s="2">
        <v>138303</v>
      </c>
      <c r="C243" s="2" t="s">
        <v>437</v>
      </c>
      <c r="E243" s="164">
        <v>0</v>
      </c>
      <c r="F243" s="164"/>
      <c r="G243" s="164">
        <v>0</v>
      </c>
      <c r="H243" s="164">
        <v>0</v>
      </c>
      <c r="I243" s="164">
        <v>0</v>
      </c>
      <c r="J243" s="164">
        <v>0</v>
      </c>
      <c r="K243" s="171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47"/>
      <c r="AG243" s="163"/>
      <c r="AH243" s="163"/>
      <c r="AI243" s="163"/>
      <c r="AJ243" s="163"/>
      <c r="AK243" s="163"/>
      <c r="AL243" s="163"/>
      <c r="AM243" s="163"/>
      <c r="AN243" s="239"/>
      <c r="AO243" s="239"/>
      <c r="AP243" s="242"/>
      <c r="AQ243" s="242"/>
      <c r="AR243" s="242"/>
      <c r="AS243" s="166">
        <f t="shared" si="20"/>
        <v>0</v>
      </c>
      <c r="AU243" s="30">
        <f t="shared" ref="AU243:AX243" si="92">SUM(AU105:AU242)</f>
        <v>1967776607308349.5</v>
      </c>
      <c r="AV243" s="30">
        <f t="shared" si="92"/>
        <v>0</v>
      </c>
      <c r="AW243" s="30">
        <f t="shared" si="92"/>
        <v>1.5655712257162438E+17</v>
      </c>
      <c r="AX243" s="30">
        <f t="shared" si="92"/>
        <v>0</v>
      </c>
      <c r="AY243" s="30">
        <f t="shared" si="24"/>
        <v>0</v>
      </c>
      <c r="AZ243" s="30">
        <f t="shared" ref="AZ243:BB243" si="93">SUM(AZ105:AZ242)</f>
        <v>0</v>
      </c>
      <c r="BA243" s="30">
        <f t="shared" si="93"/>
        <v>0</v>
      </c>
      <c r="BB243" s="39">
        <f t="shared" si="93"/>
        <v>0</v>
      </c>
    </row>
    <row r="244" spans="1:54">
      <c r="A244" s="168">
        <v>4084</v>
      </c>
      <c r="B244" s="2">
        <v>139888</v>
      </c>
      <c r="C244" s="2" t="s">
        <v>438</v>
      </c>
      <c r="E244" s="164">
        <v>0</v>
      </c>
      <c r="F244" s="164"/>
      <c r="G244" s="164">
        <v>0</v>
      </c>
      <c r="H244" s="164">
        <v>0</v>
      </c>
      <c r="I244" s="164">
        <v>0</v>
      </c>
      <c r="J244" s="164">
        <v>0</v>
      </c>
      <c r="K244" s="171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47"/>
      <c r="AG244" s="163"/>
      <c r="AH244" s="163"/>
      <c r="AI244" s="163"/>
      <c r="AJ244" s="163"/>
      <c r="AK244" s="163"/>
      <c r="AL244" s="163"/>
      <c r="AM244" s="163"/>
      <c r="AN244" s="239"/>
      <c r="AO244" s="239"/>
      <c r="AP244" s="242"/>
      <c r="AQ244" s="242"/>
      <c r="AR244" s="242"/>
      <c r="AS244" s="166">
        <f t="shared" si="20"/>
        <v>0</v>
      </c>
      <c r="AU244" s="30">
        <f t="shared" ref="AU244:AX244" si="94">SUM(AU106:AU243)</f>
        <v>3935553214597680</v>
      </c>
      <c r="AV244" s="30">
        <f t="shared" si="94"/>
        <v>0</v>
      </c>
      <c r="AW244" s="30">
        <f t="shared" si="94"/>
        <v>3.1311424514243264E+17</v>
      </c>
      <c r="AX244" s="30">
        <f t="shared" si="94"/>
        <v>0</v>
      </c>
      <c r="AY244" s="30">
        <f t="shared" si="24"/>
        <v>0</v>
      </c>
      <c r="AZ244" s="30">
        <f t="shared" ref="AZ244:BB244" si="95">SUM(AZ106:AZ243)</f>
        <v>0</v>
      </c>
      <c r="BA244" s="30">
        <f t="shared" si="95"/>
        <v>0</v>
      </c>
      <c r="BB244" s="39">
        <f t="shared" si="95"/>
        <v>0</v>
      </c>
    </row>
    <row r="245" spans="1:54">
      <c r="A245" s="168">
        <v>4009</v>
      </c>
      <c r="B245" s="2">
        <v>142219</v>
      </c>
      <c r="C245" s="2" t="s">
        <v>439</v>
      </c>
      <c r="E245" s="164">
        <v>0</v>
      </c>
      <c r="F245" s="164"/>
      <c r="G245" s="164">
        <v>0</v>
      </c>
      <c r="H245" s="164">
        <v>0</v>
      </c>
      <c r="I245" s="164">
        <v>0</v>
      </c>
      <c r="J245" s="164">
        <v>0</v>
      </c>
      <c r="K245" s="171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47"/>
      <c r="AG245" s="163"/>
      <c r="AH245" s="163"/>
      <c r="AI245" s="163"/>
      <c r="AJ245" s="163"/>
      <c r="AK245" s="163"/>
      <c r="AL245" s="163"/>
      <c r="AM245" s="163"/>
      <c r="AN245" s="239"/>
      <c r="AO245" s="239"/>
      <c r="AP245" s="242"/>
      <c r="AQ245" s="242"/>
      <c r="AR245" s="242"/>
      <c r="AS245" s="166">
        <f t="shared" si="20"/>
        <v>0</v>
      </c>
      <c r="AU245" s="30">
        <f t="shared" ref="AU245:AX245" si="96">SUM(AU107:AU244)</f>
        <v>7871106429195360</v>
      </c>
      <c r="AV245" s="30">
        <f t="shared" si="96"/>
        <v>0</v>
      </c>
      <c r="AW245" s="30">
        <f t="shared" si="96"/>
        <v>6.2622849028486528E+17</v>
      </c>
      <c r="AX245" s="30">
        <f t="shared" si="96"/>
        <v>0</v>
      </c>
      <c r="AY245" s="30">
        <f t="shared" si="24"/>
        <v>0</v>
      </c>
      <c r="AZ245" s="30">
        <f t="shared" ref="AZ245:BB245" si="97">SUM(AZ107:AZ244)</f>
        <v>0</v>
      </c>
      <c r="BA245" s="30">
        <f t="shared" si="97"/>
        <v>0</v>
      </c>
      <c r="BB245" s="39">
        <f t="shared" si="97"/>
        <v>0</v>
      </c>
    </row>
    <row r="246" spans="1:54">
      <c r="A246" s="168">
        <v>4010</v>
      </c>
      <c r="B246" s="2">
        <v>139788</v>
      </c>
      <c r="C246" s="2" t="s">
        <v>440</v>
      </c>
      <c r="E246" s="164">
        <v>0</v>
      </c>
      <c r="F246" s="164"/>
      <c r="G246" s="164">
        <v>0</v>
      </c>
      <c r="H246" s="164">
        <v>0</v>
      </c>
      <c r="I246" s="164">
        <v>0</v>
      </c>
      <c r="J246" s="164">
        <v>0</v>
      </c>
      <c r="K246" s="171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47"/>
      <c r="AG246" s="163"/>
      <c r="AH246" s="163"/>
      <c r="AI246" s="163"/>
      <c r="AJ246" s="163"/>
      <c r="AK246" s="163"/>
      <c r="AL246" s="163"/>
      <c r="AM246" s="163"/>
      <c r="AN246" s="239"/>
      <c r="AO246" s="239"/>
      <c r="AP246" s="242"/>
      <c r="AQ246" s="242"/>
      <c r="AR246" s="242"/>
      <c r="AS246" s="166">
        <f t="shared" si="20"/>
        <v>0</v>
      </c>
      <c r="AU246" s="30">
        <f t="shared" ref="AU246:AX246" si="98">SUM(AU108:AU245)</f>
        <v>1.574221285839072E+16</v>
      </c>
      <c r="AV246" s="30">
        <f t="shared" si="98"/>
        <v>0</v>
      </c>
      <c r="AW246" s="30">
        <f t="shared" si="98"/>
        <v>1.2524569805697306E+18</v>
      </c>
      <c r="AX246" s="30">
        <f t="shared" si="98"/>
        <v>0</v>
      </c>
      <c r="AY246" s="30">
        <f t="shared" si="24"/>
        <v>0</v>
      </c>
      <c r="AZ246" s="30">
        <f t="shared" ref="AZ246:BB246" si="99">SUM(AZ108:AZ245)</f>
        <v>0</v>
      </c>
      <c r="BA246" s="30">
        <f t="shared" si="99"/>
        <v>0</v>
      </c>
      <c r="BB246" s="39">
        <f t="shared" si="99"/>
        <v>0</v>
      </c>
    </row>
    <row r="247" spans="1:54">
      <c r="A247" s="168">
        <v>2471</v>
      </c>
      <c r="B247" s="2">
        <v>143943</v>
      </c>
      <c r="C247" s="2" t="s">
        <v>441</v>
      </c>
      <c r="E247" s="164">
        <v>0</v>
      </c>
      <c r="F247" s="164"/>
      <c r="G247" s="164">
        <v>0</v>
      </c>
      <c r="H247" s="164">
        <v>0</v>
      </c>
      <c r="I247" s="164">
        <v>0</v>
      </c>
      <c r="J247" s="164">
        <v>0</v>
      </c>
      <c r="K247" s="171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47"/>
      <c r="AG247" s="163"/>
      <c r="AH247" s="163"/>
      <c r="AI247" s="163"/>
      <c r="AJ247" s="163"/>
      <c r="AK247" s="163"/>
      <c r="AL247" s="163"/>
      <c r="AM247" s="163"/>
      <c r="AN247" s="239"/>
      <c r="AO247" s="239"/>
      <c r="AP247" s="242"/>
      <c r="AQ247" s="242"/>
      <c r="AR247" s="242"/>
      <c r="AS247" s="166">
        <f t="shared" si="20"/>
        <v>0</v>
      </c>
      <c r="AU247" s="30">
        <f t="shared" ref="AU247:AX247" si="100">SUM(AU109:AU246)</f>
        <v>3.148442571678144E+16</v>
      </c>
      <c r="AV247" s="30">
        <f t="shared" si="100"/>
        <v>0</v>
      </c>
      <c r="AW247" s="30">
        <f t="shared" si="100"/>
        <v>2.5049139611394611E+18</v>
      </c>
      <c r="AX247" s="30">
        <f t="shared" si="100"/>
        <v>0</v>
      </c>
      <c r="AY247" s="30">
        <f t="shared" si="24"/>
        <v>0</v>
      </c>
      <c r="AZ247" s="30">
        <f t="shared" ref="AZ247:BB247" si="101">SUM(AZ109:AZ246)</f>
        <v>0</v>
      </c>
      <c r="BA247" s="30">
        <f t="shared" si="101"/>
        <v>0</v>
      </c>
      <c r="BB247" s="39">
        <f t="shared" si="101"/>
        <v>0</v>
      </c>
    </row>
    <row r="248" spans="1:54">
      <c r="A248" s="168">
        <v>7031</v>
      </c>
      <c r="B248" s="2">
        <v>138281</v>
      </c>
      <c r="C248" s="2" t="s">
        <v>442</v>
      </c>
      <c r="E248" s="164">
        <v>557510.55268496624</v>
      </c>
      <c r="F248" s="164"/>
      <c r="G248" s="164">
        <v>134627.68340504027</v>
      </c>
      <c r="H248" s="164">
        <v>92013.66</v>
      </c>
      <c r="I248" s="164">
        <v>3525.73</v>
      </c>
      <c r="J248" s="164">
        <v>4703.59</v>
      </c>
      <c r="K248" s="171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47"/>
      <c r="AG248" s="163"/>
      <c r="AH248" s="163"/>
      <c r="AI248" s="163"/>
      <c r="AJ248" s="163"/>
      <c r="AK248" s="163"/>
      <c r="AL248" s="163"/>
      <c r="AM248" s="163"/>
      <c r="AN248" s="239"/>
      <c r="AO248" s="239"/>
      <c r="AP248" s="242"/>
      <c r="AQ248" s="242"/>
      <c r="AR248" s="242"/>
      <c r="AS248" s="166">
        <f t="shared" si="20"/>
        <v>792381.21609000652</v>
      </c>
      <c r="AU248" s="30">
        <f t="shared" ref="AU248:AX248" si="102">SUM(AU110:AU247)</f>
        <v>6.296885143356288E+16</v>
      </c>
      <c r="AV248" s="30">
        <f t="shared" si="102"/>
        <v>0</v>
      </c>
      <c r="AW248" s="30">
        <f t="shared" si="102"/>
        <v>5.0098279222789222E+18</v>
      </c>
      <c r="AX248" s="30">
        <f t="shared" si="102"/>
        <v>0</v>
      </c>
      <c r="AY248" s="30">
        <f t="shared" si="24"/>
        <v>0</v>
      </c>
      <c r="AZ248" s="30">
        <f t="shared" ref="AZ248:BB248" si="103">SUM(AZ110:AZ247)</f>
        <v>0</v>
      </c>
      <c r="BA248" s="30">
        <f t="shared" si="103"/>
        <v>0</v>
      </c>
      <c r="BB248" s="39">
        <f t="shared" si="103"/>
        <v>0</v>
      </c>
    </row>
    <row r="249" spans="1:54">
      <c r="A249" s="168">
        <v>2136</v>
      </c>
      <c r="B249" s="2">
        <v>139637</v>
      </c>
      <c r="C249" s="2" t="s">
        <v>443</v>
      </c>
      <c r="E249" s="164">
        <v>0</v>
      </c>
      <c r="F249" s="164"/>
      <c r="G249" s="164">
        <v>0</v>
      </c>
      <c r="H249" s="164">
        <v>0</v>
      </c>
      <c r="I249" s="164">
        <v>0</v>
      </c>
      <c r="J249" s="164">
        <v>0</v>
      </c>
      <c r="K249" s="171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47"/>
      <c r="AG249" s="163"/>
      <c r="AH249" s="163"/>
      <c r="AI249" s="163"/>
      <c r="AJ249" s="163"/>
      <c r="AK249" s="163"/>
      <c r="AL249" s="163"/>
      <c r="AM249" s="163"/>
      <c r="AN249" s="239"/>
      <c r="AO249" s="239"/>
      <c r="AP249" s="242"/>
      <c r="AQ249" s="242"/>
      <c r="AR249" s="242"/>
      <c r="AS249" s="166">
        <f t="shared" si="20"/>
        <v>0</v>
      </c>
      <c r="AU249" s="30">
        <f t="shared" ref="AU249:AX249" si="104">SUM(AU111:AU248)</f>
        <v>1.2593770286712576E+17</v>
      </c>
      <c r="AV249" s="30">
        <f t="shared" si="104"/>
        <v>0</v>
      </c>
      <c r="AW249" s="30">
        <f t="shared" si="104"/>
        <v>1.0019655844557844E+19</v>
      </c>
      <c r="AX249" s="30">
        <f t="shared" si="104"/>
        <v>0</v>
      </c>
      <c r="AY249" s="30">
        <f t="shared" si="24"/>
        <v>0</v>
      </c>
      <c r="AZ249" s="30">
        <f t="shared" ref="AZ249:BB249" si="105">SUM(AZ111:AZ248)</f>
        <v>0</v>
      </c>
      <c r="BA249" s="30">
        <f t="shared" si="105"/>
        <v>0</v>
      </c>
      <c r="BB249" s="39">
        <f t="shared" si="105"/>
        <v>0</v>
      </c>
    </row>
    <row r="250" spans="1:54">
      <c r="A250" s="168">
        <v>2480</v>
      </c>
      <c r="B250" s="2">
        <v>142386</v>
      </c>
      <c r="C250" s="2" t="s">
        <v>444</v>
      </c>
      <c r="E250" s="164">
        <v>0</v>
      </c>
      <c r="F250" s="164"/>
      <c r="G250" s="164">
        <v>0</v>
      </c>
      <c r="H250" s="164">
        <v>0</v>
      </c>
      <c r="I250" s="164">
        <v>0</v>
      </c>
      <c r="J250" s="164">
        <v>0</v>
      </c>
      <c r="K250" s="171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47"/>
      <c r="AG250" s="163"/>
      <c r="AH250" s="163"/>
      <c r="AI250" s="163"/>
      <c r="AJ250" s="163"/>
      <c r="AK250" s="163"/>
      <c r="AL250" s="163"/>
      <c r="AM250" s="163"/>
      <c r="AN250" s="239"/>
      <c r="AO250" s="239"/>
      <c r="AP250" s="242"/>
      <c r="AQ250" s="242"/>
      <c r="AR250" s="242"/>
      <c r="AS250" s="166">
        <f t="shared" si="20"/>
        <v>0</v>
      </c>
      <c r="AU250" s="30">
        <f t="shared" ref="AU250:AX250" si="106">SUM(AU112:AU249)</f>
        <v>2.5187540573425152E+17</v>
      </c>
      <c r="AV250" s="30">
        <f t="shared" si="106"/>
        <v>0</v>
      </c>
      <c r="AW250" s="30">
        <f t="shared" si="106"/>
        <v>2.0039311689115689E+19</v>
      </c>
      <c r="AX250" s="30">
        <f t="shared" si="106"/>
        <v>0</v>
      </c>
      <c r="AY250" s="30">
        <f t="shared" si="24"/>
        <v>0</v>
      </c>
      <c r="AZ250" s="30">
        <f t="shared" ref="AZ250:BB250" si="107">SUM(AZ112:AZ249)</f>
        <v>0</v>
      </c>
      <c r="BA250" s="30">
        <f t="shared" si="107"/>
        <v>0</v>
      </c>
      <c r="BB250" s="39">
        <f t="shared" si="107"/>
        <v>0</v>
      </c>
    </row>
    <row r="251" spans="1:54">
      <c r="A251" s="168">
        <v>2146</v>
      </c>
      <c r="B251" s="2">
        <v>141319</v>
      </c>
      <c r="C251" s="2" t="s">
        <v>445</v>
      </c>
      <c r="E251" s="164">
        <v>0</v>
      </c>
      <c r="F251" s="164"/>
      <c r="G251" s="164">
        <v>0</v>
      </c>
      <c r="H251" s="164">
        <v>0</v>
      </c>
      <c r="I251" s="164">
        <v>0</v>
      </c>
      <c r="J251" s="164">
        <v>0</v>
      </c>
      <c r="K251" s="171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47"/>
      <c r="AG251" s="163"/>
      <c r="AH251" s="163"/>
      <c r="AI251" s="163"/>
      <c r="AJ251" s="163"/>
      <c r="AK251" s="163"/>
      <c r="AL251" s="163"/>
      <c r="AM251" s="163"/>
      <c r="AN251" s="239"/>
      <c r="AO251" s="239"/>
      <c r="AP251" s="242"/>
      <c r="AQ251" s="242"/>
      <c r="AR251" s="242"/>
      <c r="AS251" s="166">
        <f t="shared" si="20"/>
        <v>0</v>
      </c>
      <c r="AU251" s="30">
        <f t="shared" ref="AU251:AX251" si="108">SUM(AU113:AU250)</f>
        <v>5.0375081146850304E+17</v>
      </c>
      <c r="AV251" s="30">
        <f t="shared" si="108"/>
        <v>0</v>
      </c>
      <c r="AW251" s="30">
        <f t="shared" si="108"/>
        <v>4.0078623378231378E+19</v>
      </c>
      <c r="AX251" s="30">
        <f t="shared" si="108"/>
        <v>0</v>
      </c>
      <c r="AY251" s="30">
        <f t="shared" si="24"/>
        <v>0</v>
      </c>
      <c r="AZ251" s="30">
        <f t="shared" ref="AZ251:BB251" si="109">SUM(AZ113:AZ250)</f>
        <v>0</v>
      </c>
      <c r="BA251" s="30">
        <f t="shared" si="109"/>
        <v>0</v>
      </c>
      <c r="BB251" s="39">
        <f t="shared" si="109"/>
        <v>0</v>
      </c>
    </row>
    <row r="252" spans="1:54">
      <c r="A252" s="168">
        <v>4246</v>
      </c>
      <c r="B252" s="2">
        <v>139994</v>
      </c>
      <c r="C252" s="2" t="s">
        <v>446</v>
      </c>
      <c r="E252" s="164">
        <v>0</v>
      </c>
      <c r="F252" s="164"/>
      <c r="G252" s="164">
        <v>0</v>
      </c>
      <c r="H252" s="164">
        <v>0</v>
      </c>
      <c r="I252" s="164">
        <v>0</v>
      </c>
      <c r="J252" s="164">
        <v>0</v>
      </c>
      <c r="K252" s="171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47"/>
      <c r="AG252" s="163"/>
      <c r="AH252" s="163"/>
      <c r="AI252" s="163"/>
      <c r="AJ252" s="163"/>
      <c r="AK252" s="163"/>
      <c r="AL252" s="163"/>
      <c r="AM252" s="163"/>
      <c r="AN252" s="239"/>
      <c r="AO252" s="239"/>
      <c r="AP252" s="242"/>
      <c r="AQ252" s="242"/>
      <c r="AR252" s="242"/>
      <c r="AS252" s="166">
        <f t="shared" si="20"/>
        <v>0</v>
      </c>
      <c r="AU252" s="30">
        <f t="shared" ref="AU252:AX252" si="110">SUM(AU114:AU251)</f>
        <v>1.0075016229370061E+18</v>
      </c>
      <c r="AV252" s="30">
        <f t="shared" si="110"/>
        <v>0</v>
      </c>
      <c r="AW252" s="30">
        <f t="shared" si="110"/>
        <v>8.0157246756462756E+19</v>
      </c>
      <c r="AX252" s="30">
        <f t="shared" si="110"/>
        <v>0</v>
      </c>
      <c r="AY252" s="30">
        <f t="shared" si="24"/>
        <v>0</v>
      </c>
      <c r="AZ252" s="30">
        <f t="shared" ref="AZ252:BB252" si="111">SUM(AZ114:AZ251)</f>
        <v>0</v>
      </c>
      <c r="BA252" s="30">
        <f t="shared" si="111"/>
        <v>0</v>
      </c>
      <c r="BB252" s="39">
        <f t="shared" si="111"/>
        <v>0</v>
      </c>
    </row>
    <row r="253" spans="1:54">
      <c r="A253" s="168">
        <v>2122</v>
      </c>
      <c r="B253" s="2">
        <v>139378</v>
      </c>
      <c r="C253" s="2" t="s">
        <v>447</v>
      </c>
      <c r="E253" s="164">
        <v>0</v>
      </c>
      <c r="F253" s="164"/>
      <c r="G253" s="164">
        <v>0</v>
      </c>
      <c r="H253" s="164">
        <v>0</v>
      </c>
      <c r="I253" s="164">
        <v>0</v>
      </c>
      <c r="J253" s="164">
        <v>0</v>
      </c>
      <c r="K253" s="171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47"/>
      <c r="AG253" s="163"/>
      <c r="AH253" s="163"/>
      <c r="AI253" s="163"/>
      <c r="AJ253" s="163"/>
      <c r="AK253" s="163"/>
      <c r="AL253" s="163"/>
      <c r="AM253" s="163"/>
      <c r="AN253" s="239"/>
      <c r="AO253" s="239"/>
      <c r="AP253" s="242"/>
      <c r="AQ253" s="242"/>
      <c r="AR253" s="242"/>
      <c r="AS253" s="166">
        <f t="shared" si="20"/>
        <v>0</v>
      </c>
      <c r="AU253" s="30">
        <f t="shared" ref="AU253:AX253" si="112">SUM(AU115:AU252)</f>
        <v>2.0150032458740122E+18</v>
      </c>
      <c r="AV253" s="30">
        <f t="shared" si="112"/>
        <v>0</v>
      </c>
      <c r="AW253" s="30">
        <f t="shared" si="112"/>
        <v>1.6031449351292551E+20</v>
      </c>
      <c r="AX253" s="30">
        <f t="shared" si="112"/>
        <v>0</v>
      </c>
      <c r="AY253" s="30">
        <f t="shared" si="24"/>
        <v>0</v>
      </c>
      <c r="AZ253" s="30">
        <f t="shared" ref="AZ253:BB253" si="113">SUM(AZ115:AZ252)</f>
        <v>0</v>
      </c>
      <c r="BA253" s="30">
        <f t="shared" si="113"/>
        <v>0</v>
      </c>
      <c r="BB253" s="39">
        <f t="shared" si="113"/>
        <v>0</v>
      </c>
    </row>
    <row r="254" spans="1:54">
      <c r="A254" s="168">
        <v>2485</v>
      </c>
      <c r="B254" s="2">
        <v>146722</v>
      </c>
      <c r="C254" s="2" t="s">
        <v>448</v>
      </c>
      <c r="E254" s="164">
        <v>0</v>
      </c>
      <c r="F254" s="164"/>
      <c r="G254" s="164">
        <v>0</v>
      </c>
      <c r="H254" s="164">
        <v>0</v>
      </c>
      <c r="I254" s="164">
        <v>0</v>
      </c>
      <c r="J254" s="164">
        <v>0</v>
      </c>
      <c r="K254" s="171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47"/>
      <c r="AG254" s="163"/>
      <c r="AH254" s="163"/>
      <c r="AI254" s="163"/>
      <c r="AJ254" s="163"/>
      <c r="AK254" s="163"/>
      <c r="AL254" s="163"/>
      <c r="AM254" s="163"/>
      <c r="AN254" s="239"/>
      <c r="AO254" s="239"/>
      <c r="AP254" s="242"/>
      <c r="AQ254" s="242"/>
      <c r="AR254" s="242"/>
      <c r="AS254" s="166">
        <f t="shared" si="20"/>
        <v>0</v>
      </c>
      <c r="AU254" s="30">
        <f t="shared" ref="AU254:AX254" si="114">SUM(AU116:AU253)</f>
        <v>4.0300064917480243E+18</v>
      </c>
      <c r="AV254" s="30">
        <f t="shared" si="114"/>
        <v>0</v>
      </c>
      <c r="AW254" s="30">
        <f t="shared" si="114"/>
        <v>3.2062898702585102E+20</v>
      </c>
      <c r="AX254" s="30">
        <f t="shared" si="114"/>
        <v>0</v>
      </c>
      <c r="AY254" s="30">
        <f t="shared" si="24"/>
        <v>0</v>
      </c>
      <c r="AZ254" s="30">
        <f t="shared" ref="AZ254:BB254" si="115">SUM(AZ116:AZ253)</f>
        <v>0</v>
      </c>
      <c r="BA254" s="30">
        <f t="shared" si="115"/>
        <v>0</v>
      </c>
      <c r="BB254" s="39">
        <f t="shared" si="115"/>
        <v>0</v>
      </c>
    </row>
    <row r="255" spans="1:54">
      <c r="A255" s="168">
        <v>2180</v>
      </c>
      <c r="B255" s="2">
        <v>142858</v>
      </c>
      <c r="C255" s="2" t="s">
        <v>449</v>
      </c>
      <c r="E255" s="164">
        <v>0</v>
      </c>
      <c r="F255" s="164"/>
      <c r="G255" s="164">
        <v>0</v>
      </c>
      <c r="H255" s="162"/>
      <c r="I255" s="164">
        <v>0</v>
      </c>
      <c r="J255" s="163"/>
      <c r="K255" s="171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47"/>
      <c r="AG255" s="163"/>
      <c r="AH255" s="163"/>
      <c r="AI255" s="163"/>
      <c r="AJ255" s="163"/>
      <c r="AK255" s="163"/>
      <c r="AL255" s="163"/>
      <c r="AM255" s="163"/>
      <c r="AN255" s="239"/>
      <c r="AO255" s="239"/>
      <c r="AP255" s="242"/>
      <c r="AQ255" s="242"/>
      <c r="AR255" s="242"/>
      <c r="AS255" s="166">
        <f t="shared" si="20"/>
        <v>0</v>
      </c>
      <c r="AU255" s="30">
        <f t="shared" ref="AU255:AX255" si="116">SUM(AU117:AU254)</f>
        <v>8.0600129834960486E+18</v>
      </c>
      <c r="AV255" s="30">
        <f t="shared" si="116"/>
        <v>0</v>
      </c>
      <c r="AW255" s="30">
        <f t="shared" si="116"/>
        <v>6.4125797405170205E+20</v>
      </c>
      <c r="AX255" s="30">
        <f t="shared" si="116"/>
        <v>0</v>
      </c>
      <c r="AY255" s="30">
        <f t="shared" si="24"/>
        <v>0</v>
      </c>
      <c r="AZ255" s="30">
        <f t="shared" ref="AZ255:BB255" si="117">SUM(AZ117:AZ254)</f>
        <v>0</v>
      </c>
      <c r="BA255" s="30">
        <f t="shared" si="117"/>
        <v>0</v>
      </c>
      <c r="BB255" s="39">
        <f t="shared" si="117"/>
        <v>0</v>
      </c>
    </row>
    <row r="263" spans="5:45">
      <c r="E263" s="30">
        <f>SUM(E7:E262)</f>
        <v>5957784.8999204198</v>
      </c>
      <c r="F263" s="30">
        <f t="shared" ref="F263:AS263" si="118">SUM(F7:F262)</f>
        <v>4410</v>
      </c>
      <c r="G263" s="30">
        <f t="shared" si="118"/>
        <v>1528438.0621184148</v>
      </c>
      <c r="H263" s="30">
        <f t="shared" si="118"/>
        <v>1052022.9099999999</v>
      </c>
      <c r="I263" s="30">
        <f t="shared" si="118"/>
        <v>38525.803478260881</v>
      </c>
      <c r="J263" s="30">
        <f t="shared" si="118"/>
        <v>51396.389130434778</v>
      </c>
      <c r="K263" s="30">
        <f t="shared" si="118"/>
        <v>0</v>
      </c>
      <c r="L263" s="30">
        <f t="shared" si="118"/>
        <v>0</v>
      </c>
      <c r="M263" s="30">
        <f t="shared" si="118"/>
        <v>0</v>
      </c>
      <c r="N263" s="30">
        <f t="shared" si="118"/>
        <v>0</v>
      </c>
      <c r="O263" s="30">
        <f t="shared" si="118"/>
        <v>0</v>
      </c>
      <c r="P263" s="30">
        <f t="shared" si="118"/>
        <v>0</v>
      </c>
      <c r="Q263" s="30">
        <f t="shared" si="118"/>
        <v>0</v>
      </c>
      <c r="R263" s="30">
        <f t="shared" si="118"/>
        <v>0</v>
      </c>
      <c r="S263" s="30">
        <f t="shared" si="118"/>
        <v>0</v>
      </c>
      <c r="T263" s="30">
        <f t="shared" si="118"/>
        <v>0</v>
      </c>
      <c r="U263" s="30">
        <f t="shared" si="118"/>
        <v>0</v>
      </c>
      <c r="V263" s="30">
        <f t="shared" si="118"/>
        <v>0</v>
      </c>
      <c r="W263" s="30">
        <f t="shared" si="118"/>
        <v>0</v>
      </c>
      <c r="X263" s="30">
        <f t="shared" si="118"/>
        <v>0</v>
      </c>
      <c r="Y263" s="30">
        <f t="shared" si="118"/>
        <v>0</v>
      </c>
      <c r="Z263" s="30">
        <f t="shared" si="118"/>
        <v>0</v>
      </c>
      <c r="AA263" s="30">
        <f t="shared" si="118"/>
        <v>0</v>
      </c>
      <c r="AB263" s="30">
        <f t="shared" si="118"/>
        <v>0</v>
      </c>
      <c r="AC263" s="30">
        <f t="shared" si="118"/>
        <v>0</v>
      </c>
      <c r="AD263" s="30">
        <f t="shared" si="118"/>
        <v>0</v>
      </c>
      <c r="AE263" s="30">
        <f t="shared" si="118"/>
        <v>0</v>
      </c>
      <c r="AF263" s="30">
        <f t="shared" si="118"/>
        <v>0</v>
      </c>
      <c r="AG263" s="30">
        <f t="shared" si="118"/>
        <v>0</v>
      </c>
      <c r="AH263" s="30">
        <f t="shared" si="118"/>
        <v>0</v>
      </c>
      <c r="AI263" s="30">
        <f t="shared" si="118"/>
        <v>0</v>
      </c>
      <c r="AJ263" s="30">
        <f t="shared" si="118"/>
        <v>0</v>
      </c>
      <c r="AK263" s="30">
        <f t="shared" si="118"/>
        <v>0</v>
      </c>
      <c r="AL263" s="30">
        <f t="shared" si="118"/>
        <v>0</v>
      </c>
      <c r="AM263" s="30">
        <f t="shared" si="118"/>
        <v>0</v>
      </c>
      <c r="AN263" s="30">
        <f t="shared" si="118"/>
        <v>0</v>
      </c>
      <c r="AO263" s="30">
        <f t="shared" si="118"/>
        <v>0</v>
      </c>
      <c r="AP263" s="30">
        <f t="shared" si="118"/>
        <v>0</v>
      </c>
      <c r="AQ263" s="30">
        <f t="shared" si="118"/>
        <v>0</v>
      </c>
      <c r="AR263" s="30">
        <f t="shared" si="118"/>
        <v>0</v>
      </c>
      <c r="AS263" s="30">
        <f t="shared" si="118"/>
        <v>8489033.3431021404</v>
      </c>
    </row>
  </sheetData>
  <sheetProtection algorithmName="SHA-512" hashValue="mG6svB+X670n2wtiMWsin/rID5zSrsonEyNbnUD0rxV4NVANYUwzY7yJG4ffiJ8p/1xd33P46H7ie6LfDwFV3Q==" saltValue="wzF4rgcakoncKLBqvCGxjg==" spinCount="100000" sheet="1" objects="1" scenarios="1"/>
  <autoFilter ref="A6:FF255" xr:uid="{0F21AC25-0319-43A5-9108-6C8C7348D185}"/>
  <conditionalFormatting sqref="A6:E7 F6:F255 E8:E255">
    <cfRule type="cellIs" dxfId="7" priority="2" operator="lessThan">
      <formula>0</formula>
    </cfRule>
  </conditionalFormatting>
  <conditionalFormatting sqref="K6">
    <cfRule type="cellIs" dxfId="6" priority="4" operator="lessThan">
      <formula>0</formula>
    </cfRule>
  </conditionalFormatting>
  <conditionalFormatting sqref="O6:W6">
    <cfRule type="cellIs" dxfId="5" priority="6" operator="lessThan">
      <formula>0</formula>
    </cfRule>
  </conditionalFormatting>
  <conditionalFormatting sqref="Z6">
    <cfRule type="cellIs" dxfId="4" priority="3" operator="lessThan">
      <formula>0</formula>
    </cfRule>
  </conditionalFormatting>
  <conditionalFormatting sqref="AS6:AS255">
    <cfRule type="cellIs" dxfId="3" priority="5" operator="lessThan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C715-CAF1-44E8-A16C-304CD5956029}">
  <sheetPr codeName="Sheet8">
    <tabColor theme="8" tint="0.79998168889431442"/>
  </sheetPr>
  <dimension ref="A1:DL264"/>
  <sheetViews>
    <sheetView zoomScale="80" zoomScaleNormal="80" workbookViewId="0">
      <selection activeCell="C9" sqref="C9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4" max="4" width="14.26953125" bestFit="1" customWidth="1"/>
    <col min="5" max="5" width="3.26953125" style="219" customWidth="1"/>
    <col min="6" max="6" width="18.81640625" bestFit="1" customWidth="1"/>
    <col min="7" max="7" width="20" bestFit="1" customWidth="1"/>
    <col min="8" max="8" width="16.26953125" bestFit="1" customWidth="1"/>
    <col min="9" max="9" width="17.453125" bestFit="1" customWidth="1"/>
    <col min="10" max="10" width="11.453125" bestFit="1" customWidth="1"/>
    <col min="11" max="11" width="14" customWidth="1"/>
    <col min="12" max="12" width="21.26953125" customWidth="1"/>
    <col min="13" max="13" width="17.26953125" customWidth="1"/>
    <col min="14" max="14" width="2.54296875" style="219" customWidth="1"/>
    <col min="15" max="20" width="17.26953125" customWidth="1"/>
    <col min="21" max="21" width="22" customWidth="1"/>
    <col min="22" max="22" width="18.1796875" bestFit="1" customWidth="1"/>
    <col min="23" max="23" width="3.26953125" style="219" customWidth="1"/>
    <col min="24" max="24" width="13.1796875" customWidth="1"/>
    <col min="25" max="25" width="13.81640625" customWidth="1"/>
    <col min="26" max="26" width="15" customWidth="1"/>
    <col min="27" max="27" width="13" customWidth="1"/>
    <col min="28" max="28" width="15.26953125" customWidth="1"/>
    <col min="29" max="29" width="14.26953125" customWidth="1"/>
    <col min="30" max="30" width="28.453125" customWidth="1"/>
    <col min="31" max="31" width="13" customWidth="1"/>
    <col min="32" max="32" width="3.26953125" style="219" customWidth="1"/>
    <col min="33" max="35" width="14.453125" customWidth="1"/>
    <col min="36" max="36" width="3.26953125" style="219" customWidth="1"/>
    <col min="37" max="38" width="14.453125" customWidth="1"/>
    <col min="39" max="39" width="16.7265625" customWidth="1"/>
    <col min="40" max="40" width="3.453125" bestFit="1" customWidth="1"/>
    <col min="41" max="41" width="25.7265625" customWidth="1"/>
    <col min="42" max="42" width="12" customWidth="1"/>
    <col min="43" max="43" width="20.81640625" customWidth="1"/>
    <col min="44" max="45" width="12.26953125" customWidth="1"/>
    <col min="46" max="46" width="9.54296875" customWidth="1"/>
    <col min="47" max="47" width="14.54296875" bestFit="1" customWidth="1"/>
    <col min="48" max="48" width="15.81640625" customWidth="1"/>
    <col min="49" max="49" width="3.453125" customWidth="1"/>
    <col min="50" max="50" width="23" bestFit="1" customWidth="1"/>
    <col min="51" max="51" width="32.1796875" bestFit="1" customWidth="1"/>
    <col min="52" max="52" width="18.54296875" bestFit="1" customWidth="1"/>
    <col min="53" max="53" width="19.26953125" bestFit="1" customWidth="1"/>
    <col min="54" max="54" width="17.1796875" bestFit="1" customWidth="1"/>
    <col min="55" max="55" width="10.7265625" bestFit="1" customWidth="1"/>
    <col min="56" max="56" width="17.26953125" bestFit="1" customWidth="1"/>
    <col min="57" max="57" width="26.54296875" bestFit="1" customWidth="1"/>
    <col min="58" max="58" width="12.26953125" customWidth="1"/>
    <col min="59" max="59" width="14.81640625" bestFit="1" customWidth="1"/>
    <col min="60" max="60" width="14.453125" bestFit="1" customWidth="1"/>
    <col min="61" max="61" width="15.81640625" customWidth="1"/>
    <col min="62" max="62" width="21" customWidth="1"/>
    <col min="63" max="63" width="26" customWidth="1"/>
    <col min="64" max="64" width="27.1796875" customWidth="1"/>
    <col min="65" max="66" width="14.81640625" customWidth="1"/>
    <col min="67" max="67" width="13" customWidth="1"/>
    <col min="68" max="68" width="25.7265625" customWidth="1"/>
    <col min="69" max="69" width="12" customWidth="1"/>
    <col min="70" max="70" width="20.81640625" customWidth="1"/>
    <col min="71" max="72" width="12.26953125" customWidth="1"/>
    <col min="73" max="73" width="9.54296875" customWidth="1"/>
    <col min="74" max="74" width="9.26953125" customWidth="1"/>
    <col min="75" max="75" width="15.81640625" customWidth="1"/>
    <col min="76" max="76" width="3.453125" customWidth="1"/>
    <col min="77" max="84" width="15.81640625" customWidth="1"/>
    <col min="85" max="85" width="4.453125" customWidth="1"/>
    <col min="86" max="93" width="15" customWidth="1"/>
    <col min="94" max="94" width="6.54296875" customWidth="1"/>
    <col min="95" max="95" width="11.7265625" bestFit="1" customWidth="1"/>
    <col min="96" max="103" width="15" customWidth="1"/>
    <col min="104" max="104" width="6.54296875" bestFit="1" customWidth="1"/>
    <col min="105" max="112" width="15" customWidth="1"/>
    <col min="113" max="113" width="4.453125" style="219" bestFit="1" customWidth="1"/>
    <col min="114" max="114" width="15.1796875" bestFit="1" customWidth="1"/>
    <col min="115" max="115" width="13.81640625" bestFit="1" customWidth="1"/>
    <col min="116" max="116" width="15.1796875" bestFit="1" customWidth="1"/>
  </cols>
  <sheetData>
    <row r="1" spans="1:116">
      <c r="A1" s="1" t="s">
        <v>460</v>
      </c>
      <c r="B1" s="1"/>
    </row>
    <row r="2" spans="1:11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N2">
        <v>66</v>
      </c>
      <c r="BO2">
        <v>67</v>
      </c>
      <c r="BP2">
        <v>68</v>
      </c>
      <c r="BQ2">
        <v>69</v>
      </c>
      <c r="BR2">
        <v>70</v>
      </c>
      <c r="BS2">
        <v>71</v>
      </c>
      <c r="BT2">
        <v>72</v>
      </c>
      <c r="BU2">
        <v>73</v>
      </c>
      <c r="BV2">
        <v>74</v>
      </c>
      <c r="BW2">
        <v>75</v>
      </c>
      <c r="BX2">
        <v>76</v>
      </c>
      <c r="BY2">
        <v>77</v>
      </c>
      <c r="BZ2">
        <v>78</v>
      </c>
      <c r="CA2">
        <v>79</v>
      </c>
      <c r="CB2">
        <v>80</v>
      </c>
      <c r="CC2">
        <v>81</v>
      </c>
      <c r="CD2">
        <v>82</v>
      </c>
      <c r="CE2">
        <v>83</v>
      </c>
      <c r="CF2">
        <v>84</v>
      </c>
      <c r="CG2">
        <v>85</v>
      </c>
      <c r="CH2">
        <v>86</v>
      </c>
      <c r="CI2">
        <v>87</v>
      </c>
      <c r="CJ2">
        <v>88</v>
      </c>
      <c r="CK2">
        <v>89</v>
      </c>
      <c r="CL2">
        <v>90</v>
      </c>
      <c r="CM2">
        <v>91</v>
      </c>
      <c r="CN2">
        <v>92</v>
      </c>
      <c r="CO2">
        <v>93</v>
      </c>
      <c r="CP2">
        <v>94</v>
      </c>
      <c r="CQ2">
        <v>95</v>
      </c>
      <c r="CR2">
        <v>96</v>
      </c>
      <c r="CS2">
        <v>97</v>
      </c>
      <c r="CT2">
        <v>98</v>
      </c>
      <c r="CU2">
        <v>99</v>
      </c>
      <c r="CV2">
        <v>100</v>
      </c>
      <c r="CW2">
        <v>101</v>
      </c>
      <c r="CX2">
        <v>102</v>
      </c>
      <c r="CY2">
        <v>103</v>
      </c>
      <c r="CZ2">
        <v>104</v>
      </c>
      <c r="DA2">
        <v>105</v>
      </c>
      <c r="DB2">
        <v>106</v>
      </c>
      <c r="DC2">
        <v>107</v>
      </c>
      <c r="DD2">
        <v>108</v>
      </c>
      <c r="DE2">
        <v>109</v>
      </c>
      <c r="DF2">
        <v>110</v>
      </c>
      <c r="DG2">
        <v>111</v>
      </c>
      <c r="DH2">
        <v>112</v>
      </c>
      <c r="DI2">
        <v>113</v>
      </c>
      <c r="DJ2">
        <v>114</v>
      </c>
      <c r="DK2">
        <v>115</v>
      </c>
      <c r="DL2">
        <v>116</v>
      </c>
    </row>
    <row r="3" spans="1:116" ht="15" thickBot="1">
      <c r="C3" s="46"/>
      <c r="D3" s="46" t="s">
        <v>145</v>
      </c>
      <c r="F3" t="s">
        <v>4</v>
      </c>
      <c r="G3" t="s">
        <v>4</v>
      </c>
      <c r="H3" t="s">
        <v>4</v>
      </c>
      <c r="I3" t="s">
        <v>4</v>
      </c>
      <c r="J3" t="s">
        <v>4</v>
      </c>
      <c r="K3" t="s">
        <v>7</v>
      </c>
      <c r="O3" t="s">
        <v>4</v>
      </c>
      <c r="P3" t="s">
        <v>4</v>
      </c>
      <c r="Q3" t="s">
        <v>4</v>
      </c>
      <c r="R3" t="s">
        <v>4</v>
      </c>
      <c r="S3" t="s">
        <v>4</v>
      </c>
      <c r="T3" t="s">
        <v>7</v>
      </c>
      <c r="X3" t="s">
        <v>4</v>
      </c>
      <c r="Y3" t="s">
        <v>4</v>
      </c>
      <c r="Z3" t="s">
        <v>4</v>
      </c>
      <c r="AA3" t="s">
        <v>4</v>
      </c>
      <c r="AB3" t="s">
        <v>4</v>
      </c>
      <c r="AC3" t="s">
        <v>7</v>
      </c>
      <c r="AG3" t="s">
        <v>4</v>
      </c>
      <c r="AH3" t="s">
        <v>4</v>
      </c>
      <c r="AI3" t="s">
        <v>4</v>
      </c>
    </row>
    <row r="4" spans="1:116" s="1" customFormat="1" ht="15" thickBot="1">
      <c r="A4" s="1" t="s">
        <v>146</v>
      </c>
      <c r="C4" s="273" t="s">
        <v>462</v>
      </c>
      <c r="AO4" s="281" t="s">
        <v>471</v>
      </c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9"/>
    </row>
    <row r="5" spans="1:116" ht="19" thickBot="1">
      <c r="A5" s="268" t="s">
        <v>457</v>
      </c>
      <c r="B5" s="268"/>
      <c r="C5" s="269"/>
      <c r="D5" s="46"/>
      <c r="F5" s="254" t="s">
        <v>165</v>
      </c>
      <c r="G5" s="255"/>
      <c r="H5" s="255"/>
      <c r="I5" s="255"/>
      <c r="J5" s="255"/>
      <c r="K5" s="255"/>
      <c r="L5" s="255"/>
      <c r="M5" s="255"/>
      <c r="N5" s="256"/>
      <c r="O5" s="255"/>
      <c r="P5" s="255"/>
      <c r="Q5" s="255"/>
      <c r="R5" s="255"/>
      <c r="S5" s="255"/>
      <c r="T5" s="255"/>
      <c r="U5" s="255"/>
      <c r="V5" s="255"/>
      <c r="W5" s="256"/>
      <c r="X5" s="255"/>
      <c r="Y5" s="255"/>
      <c r="Z5" s="255"/>
      <c r="AA5" s="255"/>
      <c r="AB5" s="255"/>
      <c r="AC5" s="255"/>
      <c r="AD5" s="255"/>
      <c r="AE5" s="255"/>
      <c r="AF5" s="256"/>
      <c r="AG5" s="252"/>
      <c r="AH5" s="252"/>
      <c r="AI5" s="253"/>
      <c r="AJ5" s="256"/>
      <c r="AK5" s="252"/>
      <c r="AL5" s="252"/>
      <c r="AM5" s="253"/>
      <c r="AN5" s="1"/>
      <c r="AO5" s="280" t="s">
        <v>472</v>
      </c>
      <c r="AP5" s="252"/>
      <c r="AQ5" s="252"/>
      <c r="AR5" s="252"/>
      <c r="AS5" s="252"/>
      <c r="AT5" s="252"/>
      <c r="AU5" s="252"/>
      <c r="AV5" s="253"/>
      <c r="AX5" s="280" t="s">
        <v>466</v>
      </c>
      <c r="AY5" s="252"/>
      <c r="AZ5" s="252"/>
      <c r="BA5" s="252"/>
      <c r="BB5" s="252"/>
      <c r="BC5" s="252"/>
      <c r="BD5" s="252"/>
      <c r="BE5" s="253"/>
      <c r="BG5" s="280" t="s">
        <v>467</v>
      </c>
      <c r="BH5" s="252"/>
      <c r="BI5" s="252"/>
      <c r="BJ5" s="252"/>
      <c r="BK5" s="252"/>
      <c r="BL5" s="252"/>
      <c r="BM5" s="252"/>
      <c r="BN5" s="253"/>
      <c r="BY5" s="1"/>
    </row>
    <row r="6" spans="1:116" ht="15" thickBot="1">
      <c r="A6" t="s">
        <v>166</v>
      </c>
      <c r="E6"/>
      <c r="N6"/>
      <c r="W6"/>
      <c r="AF6"/>
      <c r="AJ6"/>
      <c r="DI6"/>
    </row>
    <row r="7" spans="1:116" ht="87.5" thickBot="1">
      <c r="A7" s="151" t="s">
        <v>1</v>
      </c>
      <c r="B7" s="152" t="s">
        <v>2</v>
      </c>
      <c r="C7" s="154" t="s">
        <v>3</v>
      </c>
      <c r="D7" s="169"/>
      <c r="E7" s="220"/>
      <c r="F7" s="250" t="s">
        <v>167</v>
      </c>
      <c r="G7" s="250" t="s">
        <v>168</v>
      </c>
      <c r="H7" s="250" t="s">
        <v>169</v>
      </c>
      <c r="I7" s="250" t="s">
        <v>170</v>
      </c>
      <c r="J7" s="250" t="s">
        <v>171</v>
      </c>
      <c r="K7" s="250" t="s">
        <v>172</v>
      </c>
      <c r="L7" s="250" t="s">
        <v>173</v>
      </c>
      <c r="M7" s="250" t="s">
        <v>174</v>
      </c>
      <c r="N7" s="220"/>
      <c r="O7" s="249" t="s">
        <v>167</v>
      </c>
      <c r="P7" s="249" t="s">
        <v>175</v>
      </c>
      <c r="Q7" s="249" t="s">
        <v>176</v>
      </c>
      <c r="R7" s="249" t="s">
        <v>177</v>
      </c>
      <c r="S7" s="249" t="s">
        <v>178</v>
      </c>
      <c r="T7" s="249" t="s">
        <v>172</v>
      </c>
      <c r="U7" s="249" t="s">
        <v>179</v>
      </c>
      <c r="V7" s="249" t="s">
        <v>180</v>
      </c>
      <c r="W7" s="220"/>
      <c r="X7" s="251" t="s">
        <v>167</v>
      </c>
      <c r="Y7" s="251" t="s">
        <v>181</v>
      </c>
      <c r="Z7" s="251" t="s">
        <v>182</v>
      </c>
      <c r="AA7" s="251" t="s">
        <v>183</v>
      </c>
      <c r="AB7" s="251" t="s">
        <v>184</v>
      </c>
      <c r="AC7" s="251" t="s">
        <v>172</v>
      </c>
      <c r="AD7" s="251" t="s">
        <v>185</v>
      </c>
      <c r="AE7" s="251" t="s">
        <v>186</v>
      </c>
      <c r="AF7" s="220"/>
      <c r="AG7" s="258" t="s">
        <v>187</v>
      </c>
      <c r="AH7" s="258" t="s">
        <v>188</v>
      </c>
      <c r="AI7" s="258" t="s">
        <v>189</v>
      </c>
      <c r="AJ7" s="220"/>
      <c r="AK7" s="257" t="s">
        <v>190</v>
      </c>
      <c r="AL7" s="257" t="s">
        <v>191</v>
      </c>
      <c r="AM7" s="257" t="s">
        <v>192</v>
      </c>
      <c r="AN7" s="129"/>
      <c r="AO7" s="250" t="s">
        <v>167</v>
      </c>
      <c r="AP7" s="250" t="s">
        <v>168</v>
      </c>
      <c r="AQ7" s="250" t="s">
        <v>169</v>
      </c>
      <c r="AR7" s="250" t="s">
        <v>170</v>
      </c>
      <c r="AS7" s="250" t="s">
        <v>171</v>
      </c>
      <c r="AT7" s="250" t="s">
        <v>172</v>
      </c>
      <c r="AU7" s="250" t="s">
        <v>468</v>
      </c>
      <c r="AV7" s="250" t="s">
        <v>473</v>
      </c>
      <c r="AX7" s="250" t="s">
        <v>167</v>
      </c>
      <c r="AY7" s="250" t="s">
        <v>168</v>
      </c>
      <c r="AZ7" s="250" t="s">
        <v>169</v>
      </c>
      <c r="BA7" s="250" t="s">
        <v>170</v>
      </c>
      <c r="BB7" s="250" t="s">
        <v>171</v>
      </c>
      <c r="BC7" s="250" t="s">
        <v>172</v>
      </c>
      <c r="BD7" s="250" t="s">
        <v>468</v>
      </c>
      <c r="BE7" s="250" t="s">
        <v>469</v>
      </c>
      <c r="BG7" s="250" t="s">
        <v>167</v>
      </c>
      <c r="BH7" s="250" t="s">
        <v>168</v>
      </c>
      <c r="BI7" s="250" t="s">
        <v>169</v>
      </c>
      <c r="BJ7" s="250" t="s">
        <v>170</v>
      </c>
      <c r="BK7" s="250" t="s">
        <v>171</v>
      </c>
      <c r="BL7" s="250" t="s">
        <v>172</v>
      </c>
      <c r="BM7" s="250" t="s">
        <v>468</v>
      </c>
      <c r="BN7" s="250" t="s">
        <v>470</v>
      </c>
      <c r="BO7" s="129"/>
      <c r="BP7" s="129"/>
      <c r="BQ7" s="129"/>
      <c r="BR7" s="129"/>
      <c r="BS7" s="245"/>
      <c r="BT7" s="245"/>
      <c r="BU7" s="245"/>
      <c r="BV7" s="245"/>
      <c r="BW7" s="246"/>
      <c r="BY7" s="169"/>
      <c r="BZ7" s="169"/>
      <c r="CA7" s="169"/>
      <c r="CB7" s="169"/>
      <c r="CC7" s="169"/>
      <c r="CD7" s="169"/>
      <c r="CE7" s="169"/>
      <c r="CF7" s="169"/>
      <c r="CH7" s="169"/>
      <c r="CI7" s="169"/>
      <c r="CJ7" s="169"/>
      <c r="CK7" s="169"/>
      <c r="CL7" s="169"/>
      <c r="CM7" s="169"/>
      <c r="CN7" s="169"/>
      <c r="CO7" s="169"/>
      <c r="CQ7" s="169"/>
      <c r="CR7" s="169"/>
      <c r="CS7" s="169"/>
      <c r="CT7" s="169"/>
      <c r="CU7" s="169"/>
      <c r="CV7" s="169"/>
      <c r="CW7" s="169"/>
      <c r="CX7" s="169"/>
      <c r="CY7" s="169"/>
      <c r="DA7" s="169"/>
      <c r="DB7" s="169"/>
      <c r="DC7" s="169"/>
      <c r="DD7" s="169"/>
      <c r="DE7" s="169"/>
      <c r="DF7" s="169"/>
      <c r="DG7" s="169"/>
      <c r="DH7" s="169"/>
      <c r="DJ7" s="227" t="s">
        <v>4</v>
      </c>
      <c r="DK7" s="228" t="s">
        <v>7</v>
      </c>
      <c r="DL7" s="229" t="s">
        <v>58</v>
      </c>
    </row>
    <row r="8" spans="1:116">
      <c r="A8" s="167">
        <v>3318</v>
      </c>
      <c r="B8" s="159">
        <v>147669</v>
      </c>
      <c r="C8" s="159" t="s">
        <v>212</v>
      </c>
      <c r="D8" s="160"/>
      <c r="E8" s="226"/>
      <c r="F8" s="176">
        <v>0</v>
      </c>
      <c r="G8" s="176">
        <v>0</v>
      </c>
      <c r="H8" s="176">
        <v>0</v>
      </c>
      <c r="I8" s="176">
        <v>0</v>
      </c>
      <c r="J8" s="176">
        <v>0</v>
      </c>
      <c r="K8" s="176">
        <v>0</v>
      </c>
      <c r="L8" s="30">
        <f>SUM(F8:K8)</f>
        <v>0</v>
      </c>
      <c r="M8" s="176">
        <f>L8*80%</f>
        <v>0</v>
      </c>
      <c r="N8" s="226"/>
      <c r="O8" s="176">
        <v>0</v>
      </c>
      <c r="P8" s="176">
        <v>0</v>
      </c>
      <c r="Q8" s="176">
        <v>0</v>
      </c>
      <c r="R8" s="176">
        <v>0</v>
      </c>
      <c r="S8" s="176">
        <v>0</v>
      </c>
      <c r="T8" s="176">
        <v>0</v>
      </c>
      <c r="U8" s="176">
        <f>SUM(O8:T8)</f>
        <v>0</v>
      </c>
      <c r="V8" s="176">
        <f>U8*80%</f>
        <v>0</v>
      </c>
      <c r="W8" s="226"/>
      <c r="X8" s="247"/>
      <c r="Y8" s="176">
        <v>0</v>
      </c>
      <c r="Z8" s="176">
        <v>0</v>
      </c>
      <c r="AA8" s="176">
        <v>0</v>
      </c>
      <c r="AB8" s="176">
        <v>0</v>
      </c>
      <c r="AC8" s="176">
        <v>0</v>
      </c>
      <c r="AD8" s="176">
        <f>SUM(X8:AC8)</f>
        <v>0</v>
      </c>
      <c r="AE8" s="247">
        <f>AD8*80%</f>
        <v>0</v>
      </c>
      <c r="AF8" s="226"/>
      <c r="AG8" s="247">
        <v>0</v>
      </c>
      <c r="AH8" s="247">
        <v>0</v>
      </c>
      <c r="AI8" s="247">
        <v>0</v>
      </c>
      <c r="AJ8" s="226"/>
      <c r="AK8" s="247">
        <f>AG8*80%</f>
        <v>0</v>
      </c>
      <c r="AL8" s="247">
        <f t="shared" ref="AL8:AM8" si="0">AH8*80%</f>
        <v>0</v>
      </c>
      <c r="AM8" s="247">
        <f t="shared" si="0"/>
        <v>0</v>
      </c>
      <c r="AN8" s="225"/>
      <c r="AO8" s="225">
        <v>0</v>
      </c>
      <c r="AP8" s="225">
        <v>0</v>
      </c>
      <c r="AQ8" s="225">
        <v>0</v>
      </c>
      <c r="AR8" s="225">
        <v>0</v>
      </c>
      <c r="AS8" s="225">
        <v>0</v>
      </c>
      <c r="AT8" s="225">
        <v>0</v>
      </c>
      <c r="AU8" s="225">
        <v>0</v>
      </c>
      <c r="AV8" s="225">
        <f>SUM(AO8:AU8)</f>
        <v>0</v>
      </c>
      <c r="AX8" s="225">
        <f>AO8-F8</f>
        <v>0</v>
      </c>
      <c r="AY8" s="225">
        <f t="shared" ref="AY8:BC8" si="1">AP8-G8</f>
        <v>0</v>
      </c>
      <c r="AZ8" s="225">
        <f t="shared" si="1"/>
        <v>0</v>
      </c>
      <c r="BA8" s="225">
        <f t="shared" si="1"/>
        <v>0</v>
      </c>
      <c r="BB8" s="225">
        <f t="shared" si="1"/>
        <v>0</v>
      </c>
      <c r="BC8" s="225">
        <f t="shared" si="1"/>
        <v>0</v>
      </c>
      <c r="BD8" s="225">
        <f>AU8-AG8</f>
        <v>0</v>
      </c>
      <c r="BE8" s="225">
        <f>SUM(AX8:BD8)</f>
        <v>0</v>
      </c>
      <c r="BF8" s="225">
        <f>(L8+AG8+BE8)-AV8</f>
        <v>0</v>
      </c>
      <c r="BG8" s="225">
        <f t="shared" ref="BG8:BG71" si="2">AO8-(F8*80%)</f>
        <v>0</v>
      </c>
      <c r="BH8" s="225">
        <f t="shared" ref="BH8:BH71" si="3">AP8-(G8*80%)</f>
        <v>0</v>
      </c>
      <c r="BI8" s="225">
        <f t="shared" ref="BI8:BI71" si="4">AQ8-(H8*80%)</f>
        <v>0</v>
      </c>
      <c r="BJ8" s="225">
        <f t="shared" ref="BJ8:BJ71" si="5">AR8-(I8*80%)</f>
        <v>0</v>
      </c>
      <c r="BK8" s="225">
        <f t="shared" ref="BK8:BK71" si="6">AS8-(J8*80%)</f>
        <v>0</v>
      </c>
      <c r="BL8" s="225">
        <f t="shared" ref="BL8:BL71" si="7">AT8-(K8*80%)</f>
        <v>0</v>
      </c>
      <c r="BM8" s="225">
        <f t="shared" ref="BM8:BM71" si="8">AU8-(AG8*80%)</f>
        <v>0</v>
      </c>
      <c r="BN8" s="225">
        <f>SUM(BG8:BM8)</f>
        <v>0</v>
      </c>
      <c r="BO8" s="225">
        <f t="shared" ref="BO8:BO71" si="9">(M8+AK8+BN8)-AV8</f>
        <v>0</v>
      </c>
      <c r="BP8" s="225"/>
      <c r="BQ8" s="225"/>
      <c r="BR8" s="225"/>
      <c r="BS8" s="225"/>
      <c r="BT8" s="225"/>
      <c r="BU8" s="225"/>
      <c r="BV8" s="225"/>
      <c r="BW8" s="225"/>
      <c r="BY8" s="176"/>
      <c r="BZ8" s="176"/>
      <c r="CA8" s="176"/>
      <c r="CB8" s="176"/>
      <c r="CC8" s="176"/>
      <c r="CD8" s="176"/>
      <c r="CE8" s="176"/>
      <c r="CF8" s="176"/>
      <c r="CH8" s="248"/>
      <c r="CI8" s="248"/>
      <c r="CJ8" s="248"/>
      <c r="CK8" s="248"/>
      <c r="CL8" s="248"/>
      <c r="CM8" s="248"/>
      <c r="CN8" s="248"/>
      <c r="CO8" s="248"/>
      <c r="CQ8" s="248"/>
      <c r="CR8" s="248"/>
      <c r="CS8" s="248"/>
      <c r="CT8" s="248"/>
      <c r="CU8" s="248"/>
      <c r="CV8" s="248"/>
      <c r="CW8" s="248"/>
      <c r="CX8" s="248"/>
      <c r="CY8" s="248"/>
      <c r="DA8" s="248"/>
      <c r="DB8" s="248"/>
      <c r="DC8" s="248"/>
      <c r="DD8" s="248"/>
      <c r="DE8" s="248"/>
      <c r="DF8" s="248"/>
      <c r="DG8" s="248"/>
      <c r="DH8" s="248"/>
      <c r="DJ8" s="179" t="e">
        <f>#REF!+((SUMIFS($F8:$AM8,$F$3:$AM$3,$DJ$7)*80%))+SUMIFS(#REF!,#REF!,$DJ$7)</f>
        <v>#REF!</v>
      </c>
      <c r="DK8" s="179">
        <f t="shared" ref="DK8:DK39" si="10">(SUMIFS($F8:$AM8,$F$3:$AM$3,$DK$7)*80%)</f>
        <v>0</v>
      </c>
      <c r="DL8" s="173" t="e">
        <f>DJ8+DK8</f>
        <v>#REF!</v>
      </c>
    </row>
    <row r="9" spans="1:116">
      <c r="A9" s="168">
        <v>2020</v>
      </c>
      <c r="B9" s="2">
        <v>139443</v>
      </c>
      <c r="C9" s="2" t="s">
        <v>213</v>
      </c>
      <c r="D9" s="30"/>
      <c r="E9" s="226"/>
      <c r="F9" s="176">
        <v>0</v>
      </c>
      <c r="G9" s="176">
        <v>0</v>
      </c>
      <c r="H9" s="176">
        <v>81673.8</v>
      </c>
      <c r="I9" s="176">
        <v>2145</v>
      </c>
      <c r="J9" s="176">
        <v>0</v>
      </c>
      <c r="K9" s="176">
        <v>0</v>
      </c>
      <c r="L9" s="30">
        <f t="shared" ref="L9:L72" si="11">SUM(F9:K9)</f>
        <v>83818.8</v>
      </c>
      <c r="M9" s="176">
        <f t="shared" ref="M9:M72" si="12">L9*80%</f>
        <v>67055.040000000008</v>
      </c>
      <c r="N9" s="226"/>
      <c r="O9" s="176">
        <v>0</v>
      </c>
      <c r="P9" s="176">
        <v>0</v>
      </c>
      <c r="Q9" s="176">
        <v>67325.7</v>
      </c>
      <c r="R9" s="176">
        <v>1950</v>
      </c>
      <c r="S9" s="176">
        <v>0</v>
      </c>
      <c r="T9" s="176">
        <v>0</v>
      </c>
      <c r="U9" s="176">
        <f t="shared" ref="U9:U72" si="13">SUM(O9:T9)</f>
        <v>69275.7</v>
      </c>
      <c r="V9" s="176">
        <f t="shared" ref="V9:V72" si="14">U9*80%</f>
        <v>55420.56</v>
      </c>
      <c r="W9" s="226"/>
      <c r="X9" s="247"/>
      <c r="Y9" s="176">
        <v>0</v>
      </c>
      <c r="Z9" s="176">
        <v>68527.705263157899</v>
      </c>
      <c r="AA9" s="176">
        <v>1705.2631578947369</v>
      </c>
      <c r="AB9" s="176">
        <v>130.4376731301939</v>
      </c>
      <c r="AC9" s="176">
        <v>0</v>
      </c>
      <c r="AD9" s="176">
        <f t="shared" ref="AD9:AD72" si="15">SUM(X9:AC9)</f>
        <v>70363.406094182821</v>
      </c>
      <c r="AE9" s="247">
        <f t="shared" ref="AE9:AE72" si="16">AD9*80%</f>
        <v>56290.724875346263</v>
      </c>
      <c r="AF9" s="226"/>
      <c r="AG9" s="247">
        <v>676.65</v>
      </c>
      <c r="AH9" s="247">
        <v>645.44999999999993</v>
      </c>
      <c r="AI9" s="247">
        <v>587.17894736842106</v>
      </c>
      <c r="AJ9" s="226"/>
      <c r="AK9" s="247">
        <f t="shared" ref="AK9:AK72" si="17">AG9*80%</f>
        <v>541.32000000000005</v>
      </c>
      <c r="AL9" s="247">
        <f t="shared" ref="AL9:AL72" si="18">AH9*80%</f>
        <v>516.36</v>
      </c>
      <c r="AM9" s="247">
        <f t="shared" ref="AM9:AM72" si="19">AI9*80%</f>
        <v>469.7431578947369</v>
      </c>
      <c r="AN9" s="225"/>
      <c r="AO9" s="225">
        <v>0</v>
      </c>
      <c r="AP9" s="225">
        <v>0</v>
      </c>
      <c r="AQ9" s="225">
        <v>83881.2</v>
      </c>
      <c r="AR9" s="225">
        <v>3510</v>
      </c>
      <c r="AS9" s="225">
        <v>1342.421052631579</v>
      </c>
      <c r="AT9" s="225">
        <v>0</v>
      </c>
      <c r="AU9" s="225">
        <v>883.35</v>
      </c>
      <c r="AV9" s="225">
        <f t="shared" ref="AV9:AV72" si="20">SUM(AO9:AU9)</f>
        <v>89616.971052631576</v>
      </c>
      <c r="AX9" s="225">
        <f t="shared" ref="AX9:AX72" si="21">AO9-F9</f>
        <v>0</v>
      </c>
      <c r="AY9" s="225">
        <f t="shared" ref="AY9:AY72" si="22">AP9-G9</f>
        <v>0</v>
      </c>
      <c r="AZ9" s="225">
        <f t="shared" ref="AZ9:AZ72" si="23">AQ9-H9</f>
        <v>2207.3999999999942</v>
      </c>
      <c r="BA9" s="225">
        <f t="shared" ref="BA9:BA72" si="24">AR9-I9</f>
        <v>1365</v>
      </c>
      <c r="BB9" s="225">
        <f t="shared" ref="BB9:BB72" si="25">AS9-J9</f>
        <v>1342.421052631579</v>
      </c>
      <c r="BC9" s="225">
        <f t="shared" ref="BC9:BC72" si="26">AT9-K9</f>
        <v>0</v>
      </c>
      <c r="BD9" s="225">
        <f t="shared" ref="BD9:BD72" si="27">AU9-AG9</f>
        <v>206.70000000000005</v>
      </c>
      <c r="BE9" s="225">
        <f t="shared" ref="BE9:BE72" si="28">SUM(AX9:BD9)</f>
        <v>5121.5210526315732</v>
      </c>
      <c r="BF9" s="225">
        <f t="shared" ref="BF9:BF72" si="29">(L9+AG9+BE9)-AV9</f>
        <v>0</v>
      </c>
      <c r="BG9" s="225">
        <f t="shared" si="2"/>
        <v>0</v>
      </c>
      <c r="BH9" s="225">
        <f t="shared" si="3"/>
        <v>0</v>
      </c>
      <c r="BI9" s="225">
        <f t="shared" si="4"/>
        <v>18542.159999999989</v>
      </c>
      <c r="BJ9" s="225">
        <f t="shared" si="5"/>
        <v>1794</v>
      </c>
      <c r="BK9" s="225">
        <f t="shared" si="6"/>
        <v>1342.421052631579</v>
      </c>
      <c r="BL9" s="225">
        <f t="shared" si="7"/>
        <v>0</v>
      </c>
      <c r="BM9" s="225">
        <f t="shared" si="8"/>
        <v>342.03</v>
      </c>
      <c r="BN9" s="225">
        <f t="shared" ref="BN9:BN72" si="30">SUM(BG9:BM9)</f>
        <v>22020.611052631568</v>
      </c>
      <c r="BO9" s="225">
        <f t="shared" si="9"/>
        <v>0</v>
      </c>
      <c r="BP9" s="225"/>
      <c r="BQ9" s="225"/>
      <c r="BR9" s="225"/>
      <c r="BS9" s="225"/>
      <c r="BT9" s="225"/>
      <c r="BU9" s="225"/>
      <c r="BV9" s="225"/>
      <c r="BW9" s="225"/>
      <c r="BY9" s="176"/>
      <c r="BZ9" s="176"/>
      <c r="CA9" s="176"/>
      <c r="CB9" s="176"/>
      <c r="CC9" s="176"/>
      <c r="CD9" s="176"/>
      <c r="CE9" s="176"/>
      <c r="CF9" s="176"/>
      <c r="CH9" s="248"/>
      <c r="CI9" s="248"/>
      <c r="CJ9" s="248"/>
      <c r="CK9" s="248"/>
      <c r="CL9" s="248"/>
      <c r="CM9" s="248"/>
      <c r="CN9" s="248"/>
      <c r="CO9" s="248"/>
      <c r="CQ9" s="248"/>
      <c r="CR9" s="248"/>
      <c r="CS9" s="248"/>
      <c r="CT9" s="248"/>
      <c r="CU9" s="248"/>
      <c r="CV9" s="248"/>
      <c r="CW9" s="248"/>
      <c r="CX9" s="248"/>
      <c r="CY9" s="248"/>
      <c r="DA9" s="248"/>
      <c r="DB9" s="248"/>
      <c r="DC9" s="248"/>
      <c r="DD9" s="248"/>
      <c r="DE9" s="248"/>
      <c r="DF9" s="248"/>
      <c r="DG9" s="248"/>
      <c r="DH9" s="248"/>
      <c r="DJ9" s="179" t="e">
        <f>#REF!+((SUMIFS($F9:$AM9,$F$3:$AM$3,$DJ$7)*80%))+SUMIFS(#REF!,#REF!,$DJ$7)</f>
        <v>#REF!</v>
      </c>
      <c r="DK9" s="179">
        <f t="shared" si="10"/>
        <v>0</v>
      </c>
      <c r="DL9" s="173" t="e">
        <f t="shared" ref="DL9:DL72" si="31">DJ9+DK9</f>
        <v>#REF!</v>
      </c>
    </row>
    <row r="10" spans="1:116">
      <c r="A10" s="168">
        <v>3433</v>
      </c>
      <c r="B10" s="2">
        <v>140889</v>
      </c>
      <c r="C10" s="2" t="s">
        <v>214</v>
      </c>
      <c r="D10" s="30"/>
      <c r="E10" s="226"/>
      <c r="F10" s="176">
        <v>0</v>
      </c>
      <c r="G10" s="176">
        <v>0</v>
      </c>
      <c r="H10" s="176">
        <v>27592.5</v>
      </c>
      <c r="I10" s="176">
        <v>3510</v>
      </c>
      <c r="J10" s="176">
        <v>1342.421052631579</v>
      </c>
      <c r="K10" s="176">
        <v>0</v>
      </c>
      <c r="L10" s="30">
        <f t="shared" si="11"/>
        <v>32444.92105263158</v>
      </c>
      <c r="M10" s="176">
        <f t="shared" si="12"/>
        <v>25955.936842105264</v>
      </c>
      <c r="N10" s="226"/>
      <c r="O10" s="176">
        <v>0</v>
      </c>
      <c r="P10" s="176">
        <v>0</v>
      </c>
      <c r="Q10" s="176">
        <v>25385.100000000002</v>
      </c>
      <c r="R10" s="176">
        <v>2535</v>
      </c>
      <c r="S10" s="176">
        <v>969.52631578947376</v>
      </c>
      <c r="T10" s="176">
        <v>0</v>
      </c>
      <c r="U10" s="176">
        <f t="shared" si="13"/>
        <v>28889.626315789475</v>
      </c>
      <c r="V10" s="176">
        <f t="shared" si="14"/>
        <v>23111.701052631583</v>
      </c>
      <c r="W10" s="226"/>
      <c r="X10" s="247"/>
      <c r="Y10" s="176">
        <v>0</v>
      </c>
      <c r="Z10" s="176">
        <v>23807.747368421049</v>
      </c>
      <c r="AA10" s="176">
        <v>2842.105263157895</v>
      </c>
      <c r="AB10" s="176">
        <v>1086.9806094182825</v>
      </c>
      <c r="AC10" s="176">
        <v>0</v>
      </c>
      <c r="AD10" s="176">
        <f t="shared" si="15"/>
        <v>27736.833240997224</v>
      </c>
      <c r="AE10" s="247">
        <f t="shared" si="16"/>
        <v>22189.46659279778</v>
      </c>
      <c r="AF10" s="226"/>
      <c r="AG10" s="247">
        <v>1866.15</v>
      </c>
      <c r="AH10" s="247">
        <v>1261.6500000000001</v>
      </c>
      <c r="AI10" s="247">
        <v>1460.2736842105264</v>
      </c>
      <c r="AJ10" s="226"/>
      <c r="AK10" s="247">
        <f t="shared" si="17"/>
        <v>1492.92</v>
      </c>
      <c r="AL10" s="247">
        <f t="shared" si="18"/>
        <v>1009.3200000000002</v>
      </c>
      <c r="AM10" s="247">
        <f t="shared" si="19"/>
        <v>1168.2189473684211</v>
      </c>
      <c r="AN10" s="225"/>
      <c r="AO10" s="225">
        <v>0</v>
      </c>
      <c r="AP10" s="225">
        <v>0</v>
      </c>
      <c r="AQ10" s="225">
        <v>23177.7</v>
      </c>
      <c r="AR10" s="225">
        <v>2340</v>
      </c>
      <c r="AS10" s="225">
        <v>894.94736842105272</v>
      </c>
      <c r="AT10" s="225">
        <v>0</v>
      </c>
      <c r="AU10" s="225">
        <v>1127.0999999999999</v>
      </c>
      <c r="AV10" s="225">
        <f t="shared" si="20"/>
        <v>27539.747368421053</v>
      </c>
      <c r="AX10" s="225">
        <f t="shared" si="21"/>
        <v>0</v>
      </c>
      <c r="AY10" s="225">
        <f t="shared" si="22"/>
        <v>0</v>
      </c>
      <c r="AZ10" s="225">
        <f t="shared" si="23"/>
        <v>-4414.7999999999993</v>
      </c>
      <c r="BA10" s="225">
        <f t="shared" si="24"/>
        <v>-1170</v>
      </c>
      <c r="BB10" s="225">
        <f t="shared" si="25"/>
        <v>-447.47368421052624</v>
      </c>
      <c r="BC10" s="225">
        <f t="shared" si="26"/>
        <v>0</v>
      </c>
      <c r="BD10" s="225">
        <f t="shared" si="27"/>
        <v>-739.05000000000018</v>
      </c>
      <c r="BE10" s="225">
        <f t="shared" si="28"/>
        <v>-6771.3236842105262</v>
      </c>
      <c r="BF10" s="225">
        <f t="shared" si="29"/>
        <v>0</v>
      </c>
      <c r="BG10" s="225">
        <f t="shared" si="2"/>
        <v>0</v>
      </c>
      <c r="BH10" s="225">
        <f t="shared" si="3"/>
        <v>0</v>
      </c>
      <c r="BI10" s="225">
        <f t="shared" si="4"/>
        <v>1103.7000000000007</v>
      </c>
      <c r="BJ10" s="225">
        <f t="shared" si="5"/>
        <v>-468</v>
      </c>
      <c r="BK10" s="225">
        <f t="shared" si="6"/>
        <v>-178.98947368421045</v>
      </c>
      <c r="BL10" s="225">
        <f t="shared" si="7"/>
        <v>0</v>
      </c>
      <c r="BM10" s="225">
        <f t="shared" si="8"/>
        <v>-365.82000000000016</v>
      </c>
      <c r="BN10" s="225">
        <f t="shared" si="30"/>
        <v>90.890526315790112</v>
      </c>
      <c r="BO10" s="225">
        <f t="shared" si="9"/>
        <v>0</v>
      </c>
      <c r="BP10" s="225"/>
      <c r="BQ10" s="225"/>
      <c r="BR10" s="225"/>
      <c r="BS10" s="225"/>
      <c r="BT10" s="225"/>
      <c r="BU10" s="225"/>
      <c r="BV10" s="225"/>
      <c r="BW10" s="225"/>
      <c r="BY10" s="176"/>
      <c r="BZ10" s="176"/>
      <c r="CA10" s="176"/>
      <c r="CB10" s="176"/>
      <c r="CC10" s="176"/>
      <c r="CD10" s="176"/>
      <c r="CE10" s="176"/>
      <c r="CF10" s="176"/>
      <c r="CH10" s="248"/>
      <c r="CI10" s="248"/>
      <c r="CJ10" s="248"/>
      <c r="CK10" s="248"/>
      <c r="CL10" s="248"/>
      <c r="CM10" s="248"/>
      <c r="CN10" s="248"/>
      <c r="CO10" s="248"/>
      <c r="CQ10" s="248"/>
      <c r="CR10" s="248"/>
      <c r="CS10" s="248"/>
      <c r="CT10" s="248"/>
      <c r="CU10" s="248"/>
      <c r="CV10" s="248"/>
      <c r="CW10" s="248"/>
      <c r="CX10" s="248"/>
      <c r="CY10" s="248"/>
      <c r="DA10" s="248"/>
      <c r="DB10" s="248"/>
      <c r="DC10" s="248"/>
      <c r="DD10" s="248"/>
      <c r="DE10" s="248"/>
      <c r="DF10" s="248"/>
      <c r="DG10" s="248"/>
      <c r="DH10" s="248"/>
      <c r="DJ10" s="179" t="e">
        <f>#REF!+((SUMIFS($F10:$AM10,$F$3:$AM$3,$DJ$7)*80%))+SUMIFS(#REF!,#REF!,$DJ$7)</f>
        <v>#REF!</v>
      </c>
      <c r="DK10" s="179">
        <f t="shared" si="10"/>
        <v>0</v>
      </c>
      <c r="DL10" s="173" t="e">
        <f t="shared" si="31"/>
        <v>#REF!</v>
      </c>
    </row>
    <row r="11" spans="1:116">
      <c r="A11" s="168">
        <v>2144</v>
      </c>
      <c r="B11" s="2">
        <v>140656</v>
      </c>
      <c r="C11" s="2" t="s">
        <v>215</v>
      </c>
      <c r="D11" s="30"/>
      <c r="E11" s="226"/>
      <c r="F11" s="176">
        <v>0</v>
      </c>
      <c r="G11" s="176">
        <v>0</v>
      </c>
      <c r="H11" s="176">
        <v>43044.3</v>
      </c>
      <c r="I11" s="176">
        <v>2340</v>
      </c>
      <c r="J11" s="176">
        <v>596.63157894736844</v>
      </c>
      <c r="K11" s="176">
        <v>0</v>
      </c>
      <c r="L11" s="30">
        <f t="shared" si="11"/>
        <v>45980.931578947369</v>
      </c>
      <c r="M11" s="176">
        <f t="shared" si="12"/>
        <v>36784.7452631579</v>
      </c>
      <c r="N11" s="226"/>
      <c r="O11" s="176">
        <v>0</v>
      </c>
      <c r="P11" s="176">
        <v>0</v>
      </c>
      <c r="Q11" s="176">
        <v>51873.9</v>
      </c>
      <c r="R11" s="176">
        <v>2340</v>
      </c>
      <c r="S11" s="176">
        <v>894.94736842105272</v>
      </c>
      <c r="T11" s="176">
        <v>0</v>
      </c>
      <c r="U11" s="176">
        <f t="shared" si="13"/>
        <v>55108.847368421055</v>
      </c>
      <c r="V11" s="176">
        <f t="shared" si="14"/>
        <v>44087.077894736845</v>
      </c>
      <c r="W11" s="226"/>
      <c r="X11" s="247"/>
      <c r="Y11" s="176">
        <v>0</v>
      </c>
      <c r="Z11" s="176">
        <v>40215.789473684206</v>
      </c>
      <c r="AA11" s="176">
        <v>1989.4736842105262</v>
      </c>
      <c r="AB11" s="176">
        <v>673.92797783933509</v>
      </c>
      <c r="AC11" s="176">
        <v>0</v>
      </c>
      <c r="AD11" s="176">
        <f t="shared" si="15"/>
        <v>42879.191135734065</v>
      </c>
      <c r="AE11" s="247">
        <f t="shared" si="16"/>
        <v>34303.352908587251</v>
      </c>
      <c r="AF11" s="226"/>
      <c r="AG11" s="247">
        <v>1218.75</v>
      </c>
      <c r="AH11" s="247">
        <v>1388.4</v>
      </c>
      <c r="AI11" s="247">
        <v>1103.3052631578946</v>
      </c>
      <c r="AJ11" s="226"/>
      <c r="AK11" s="247">
        <f t="shared" si="17"/>
        <v>975</v>
      </c>
      <c r="AL11" s="247">
        <f t="shared" si="18"/>
        <v>1110.72</v>
      </c>
      <c r="AM11" s="247">
        <f t="shared" si="19"/>
        <v>882.64421052631576</v>
      </c>
      <c r="AN11" s="225"/>
      <c r="AO11" s="225">
        <v>0</v>
      </c>
      <c r="AP11" s="225">
        <v>0</v>
      </c>
      <c r="AQ11" s="225">
        <v>56288.7</v>
      </c>
      <c r="AR11" s="225">
        <v>4485</v>
      </c>
      <c r="AS11" s="225">
        <v>1715.3157894736842</v>
      </c>
      <c r="AT11" s="225">
        <v>0</v>
      </c>
      <c r="AU11" s="225">
        <v>1419.6000000000001</v>
      </c>
      <c r="AV11" s="225">
        <f t="shared" si="20"/>
        <v>63908.615789473683</v>
      </c>
      <c r="AX11" s="225">
        <f t="shared" si="21"/>
        <v>0</v>
      </c>
      <c r="AY11" s="225">
        <f t="shared" si="22"/>
        <v>0</v>
      </c>
      <c r="AZ11" s="225">
        <f t="shared" si="23"/>
        <v>13244.399999999994</v>
      </c>
      <c r="BA11" s="225">
        <f t="shared" si="24"/>
        <v>2145</v>
      </c>
      <c r="BB11" s="225">
        <f t="shared" si="25"/>
        <v>1118.6842105263158</v>
      </c>
      <c r="BC11" s="225">
        <f t="shared" si="26"/>
        <v>0</v>
      </c>
      <c r="BD11" s="225">
        <f t="shared" si="27"/>
        <v>200.85000000000014</v>
      </c>
      <c r="BE11" s="225">
        <f t="shared" si="28"/>
        <v>16708.934210526309</v>
      </c>
      <c r="BF11" s="225">
        <f t="shared" si="29"/>
        <v>0</v>
      </c>
      <c r="BG11" s="225">
        <f t="shared" si="2"/>
        <v>0</v>
      </c>
      <c r="BH11" s="225">
        <f t="shared" si="3"/>
        <v>0</v>
      </c>
      <c r="BI11" s="225">
        <f t="shared" si="4"/>
        <v>21853.259999999995</v>
      </c>
      <c r="BJ11" s="225">
        <f t="shared" si="5"/>
        <v>2613</v>
      </c>
      <c r="BK11" s="225">
        <f t="shared" si="6"/>
        <v>1238.0105263157893</v>
      </c>
      <c r="BL11" s="225">
        <f t="shared" si="7"/>
        <v>0</v>
      </c>
      <c r="BM11" s="225">
        <f t="shared" si="8"/>
        <v>444.60000000000014</v>
      </c>
      <c r="BN11" s="225">
        <f t="shared" si="30"/>
        <v>26148.870526315783</v>
      </c>
      <c r="BO11" s="225">
        <f t="shared" si="9"/>
        <v>0</v>
      </c>
      <c r="BP11" s="225"/>
      <c r="BQ11" s="225"/>
      <c r="BR11" s="225"/>
      <c r="BS11" s="225"/>
      <c r="BT11" s="225"/>
      <c r="BU11" s="225"/>
      <c r="BV11" s="225"/>
      <c r="BW11" s="225"/>
      <c r="BY11" s="176"/>
      <c r="BZ11" s="176"/>
      <c r="CA11" s="176"/>
      <c r="CB11" s="176"/>
      <c r="CC11" s="176"/>
      <c r="CD11" s="176"/>
      <c r="CE11" s="176"/>
      <c r="CF11" s="176"/>
      <c r="CH11" s="248"/>
      <c r="CI11" s="248"/>
      <c r="CJ11" s="248"/>
      <c r="CK11" s="248"/>
      <c r="CL11" s="248"/>
      <c r="CM11" s="248"/>
      <c r="CN11" s="248"/>
      <c r="CO11" s="248"/>
      <c r="CQ11" s="248"/>
      <c r="CR11" s="248"/>
      <c r="CS11" s="248"/>
      <c r="CT11" s="248"/>
      <c r="CU11" s="248"/>
      <c r="CV11" s="248"/>
      <c r="CW11" s="248"/>
      <c r="CX11" s="248"/>
      <c r="CY11" s="248"/>
      <c r="DA11" s="248"/>
      <c r="DB11" s="248"/>
      <c r="DC11" s="248"/>
      <c r="DD11" s="248"/>
      <c r="DE11" s="248"/>
      <c r="DF11" s="248"/>
      <c r="DG11" s="248"/>
      <c r="DH11" s="248"/>
      <c r="DJ11" s="179" t="e">
        <f>#REF!+((SUMIFS($F11:$AM11,$F$3:$AM$3,$DJ$7)*80%))+SUMIFS(#REF!,#REF!,$DJ$7)</f>
        <v>#REF!</v>
      </c>
      <c r="DK11" s="179">
        <f t="shared" si="10"/>
        <v>0</v>
      </c>
      <c r="DL11" s="173" t="e">
        <f t="shared" si="31"/>
        <v>#REF!</v>
      </c>
    </row>
    <row r="12" spans="1:116">
      <c r="A12" s="168">
        <v>4804</v>
      </c>
      <c r="B12" s="2">
        <v>146124</v>
      </c>
      <c r="C12" s="2" t="s">
        <v>216</v>
      </c>
      <c r="D12" s="30"/>
      <c r="E12" s="226"/>
      <c r="F12" s="176">
        <v>0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30">
        <f t="shared" si="11"/>
        <v>0</v>
      </c>
      <c r="M12" s="176">
        <f t="shared" si="12"/>
        <v>0</v>
      </c>
      <c r="N12" s="226"/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  <c r="U12" s="176">
        <f t="shared" si="13"/>
        <v>0</v>
      </c>
      <c r="V12" s="176">
        <f t="shared" si="14"/>
        <v>0</v>
      </c>
      <c r="W12" s="226"/>
      <c r="X12" s="247"/>
      <c r="Y12" s="176">
        <v>0</v>
      </c>
      <c r="Z12" s="176">
        <v>0</v>
      </c>
      <c r="AA12" s="176">
        <v>0</v>
      </c>
      <c r="AB12" s="176">
        <v>0</v>
      </c>
      <c r="AC12" s="176">
        <v>0</v>
      </c>
      <c r="AD12" s="176">
        <f t="shared" si="15"/>
        <v>0</v>
      </c>
      <c r="AE12" s="247">
        <f t="shared" si="16"/>
        <v>0</v>
      </c>
      <c r="AF12" s="226"/>
      <c r="AG12" s="247">
        <v>0</v>
      </c>
      <c r="AH12" s="247">
        <v>0</v>
      </c>
      <c r="AI12" s="247">
        <v>0</v>
      </c>
      <c r="AJ12" s="226"/>
      <c r="AK12" s="247">
        <f t="shared" si="17"/>
        <v>0</v>
      </c>
      <c r="AL12" s="247">
        <f t="shared" si="18"/>
        <v>0</v>
      </c>
      <c r="AM12" s="247">
        <f t="shared" si="19"/>
        <v>0</v>
      </c>
      <c r="AN12" s="225"/>
      <c r="AO12" s="225">
        <v>0</v>
      </c>
      <c r="AP12" s="225">
        <v>0</v>
      </c>
      <c r="AQ12" s="225">
        <v>0</v>
      </c>
      <c r="AR12" s="225">
        <v>0</v>
      </c>
      <c r="AS12" s="225">
        <v>0</v>
      </c>
      <c r="AT12" s="225">
        <v>0</v>
      </c>
      <c r="AU12" s="225">
        <v>0</v>
      </c>
      <c r="AV12" s="225">
        <f t="shared" si="20"/>
        <v>0</v>
      </c>
      <c r="AX12" s="225">
        <f t="shared" si="21"/>
        <v>0</v>
      </c>
      <c r="AY12" s="225">
        <f t="shared" si="22"/>
        <v>0</v>
      </c>
      <c r="AZ12" s="225">
        <f t="shared" si="23"/>
        <v>0</v>
      </c>
      <c r="BA12" s="225">
        <f t="shared" si="24"/>
        <v>0</v>
      </c>
      <c r="BB12" s="225">
        <f t="shared" si="25"/>
        <v>0</v>
      </c>
      <c r="BC12" s="225">
        <f t="shared" si="26"/>
        <v>0</v>
      </c>
      <c r="BD12" s="225">
        <f t="shared" si="27"/>
        <v>0</v>
      </c>
      <c r="BE12" s="225">
        <f t="shared" si="28"/>
        <v>0</v>
      </c>
      <c r="BF12" s="225">
        <f t="shared" si="29"/>
        <v>0</v>
      </c>
      <c r="BG12" s="225">
        <f t="shared" si="2"/>
        <v>0</v>
      </c>
      <c r="BH12" s="225">
        <f t="shared" si="3"/>
        <v>0</v>
      </c>
      <c r="BI12" s="225">
        <f t="shared" si="4"/>
        <v>0</v>
      </c>
      <c r="BJ12" s="225">
        <f t="shared" si="5"/>
        <v>0</v>
      </c>
      <c r="BK12" s="225">
        <f t="shared" si="6"/>
        <v>0</v>
      </c>
      <c r="BL12" s="225">
        <f t="shared" si="7"/>
        <v>0</v>
      </c>
      <c r="BM12" s="225">
        <f t="shared" si="8"/>
        <v>0</v>
      </c>
      <c r="BN12" s="225">
        <f t="shared" si="30"/>
        <v>0</v>
      </c>
      <c r="BO12" s="225">
        <f t="shared" si="9"/>
        <v>0</v>
      </c>
      <c r="BP12" s="225"/>
      <c r="BQ12" s="225"/>
      <c r="BR12" s="225"/>
      <c r="BS12" s="225"/>
      <c r="BT12" s="225"/>
      <c r="BU12" s="225"/>
      <c r="BV12" s="225"/>
      <c r="BW12" s="225"/>
      <c r="BY12" s="176"/>
      <c r="BZ12" s="176"/>
      <c r="CA12" s="176"/>
      <c r="CB12" s="176"/>
      <c r="CC12" s="176"/>
      <c r="CD12" s="176"/>
      <c r="CE12" s="176"/>
      <c r="CF12" s="176"/>
      <c r="CH12" s="248"/>
      <c r="CI12" s="248"/>
      <c r="CJ12" s="248"/>
      <c r="CK12" s="248"/>
      <c r="CL12" s="248"/>
      <c r="CM12" s="248"/>
      <c r="CN12" s="248"/>
      <c r="CO12" s="248"/>
      <c r="CQ12" s="248"/>
      <c r="CR12" s="248"/>
      <c r="CS12" s="248"/>
      <c r="CT12" s="248"/>
      <c r="CU12" s="248"/>
      <c r="CV12" s="248"/>
      <c r="CW12" s="248"/>
      <c r="CX12" s="248"/>
      <c r="CY12" s="248"/>
      <c r="DA12" s="248"/>
      <c r="DB12" s="248"/>
      <c r="DC12" s="248"/>
      <c r="DD12" s="248"/>
      <c r="DE12" s="248"/>
      <c r="DF12" s="248"/>
      <c r="DG12" s="248"/>
      <c r="DH12" s="248"/>
      <c r="DJ12" s="179" t="e">
        <f>#REF!+((SUMIFS($F12:$AM12,$F$3:$AM$3,$DJ$7)*80%))+SUMIFS(#REF!,#REF!,$DJ$7)</f>
        <v>#REF!</v>
      </c>
      <c r="DK12" s="179">
        <f t="shared" si="10"/>
        <v>0</v>
      </c>
      <c r="DL12" s="173" t="e">
        <f t="shared" si="31"/>
        <v>#REF!</v>
      </c>
    </row>
    <row r="13" spans="1:116">
      <c r="A13" s="168">
        <v>4031</v>
      </c>
      <c r="B13" s="2">
        <v>145580</v>
      </c>
      <c r="C13" s="2" t="s">
        <v>217</v>
      </c>
      <c r="D13" s="30"/>
      <c r="E13" s="226"/>
      <c r="F13" s="176">
        <v>0</v>
      </c>
      <c r="G13" s="176">
        <v>0</v>
      </c>
      <c r="H13" s="176">
        <v>0</v>
      </c>
      <c r="I13" s="176">
        <v>0</v>
      </c>
      <c r="J13" s="176">
        <v>0</v>
      </c>
      <c r="K13" s="176">
        <v>0</v>
      </c>
      <c r="L13" s="30">
        <f t="shared" si="11"/>
        <v>0</v>
      </c>
      <c r="M13" s="176">
        <f t="shared" si="12"/>
        <v>0</v>
      </c>
      <c r="N13" s="226"/>
      <c r="O13" s="176">
        <v>0</v>
      </c>
      <c r="P13" s="176">
        <v>0</v>
      </c>
      <c r="Q13" s="176">
        <v>0</v>
      </c>
      <c r="R13" s="176">
        <v>0</v>
      </c>
      <c r="S13" s="176">
        <v>0</v>
      </c>
      <c r="T13" s="176">
        <v>0</v>
      </c>
      <c r="U13" s="176">
        <f t="shared" si="13"/>
        <v>0</v>
      </c>
      <c r="V13" s="176">
        <f t="shared" si="14"/>
        <v>0</v>
      </c>
      <c r="W13" s="226"/>
      <c r="X13" s="247"/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f t="shared" si="15"/>
        <v>0</v>
      </c>
      <c r="AE13" s="247">
        <f t="shared" si="16"/>
        <v>0</v>
      </c>
      <c r="AF13" s="226"/>
      <c r="AG13" s="247">
        <v>0</v>
      </c>
      <c r="AH13" s="247">
        <v>0</v>
      </c>
      <c r="AI13" s="247">
        <v>0</v>
      </c>
      <c r="AJ13" s="226"/>
      <c r="AK13" s="247">
        <f t="shared" si="17"/>
        <v>0</v>
      </c>
      <c r="AL13" s="247">
        <f t="shared" si="18"/>
        <v>0</v>
      </c>
      <c r="AM13" s="247">
        <f t="shared" si="19"/>
        <v>0</v>
      </c>
      <c r="AN13" s="225"/>
      <c r="AO13" s="225">
        <v>0</v>
      </c>
      <c r="AP13" s="225">
        <v>0</v>
      </c>
      <c r="AQ13" s="225">
        <v>0</v>
      </c>
      <c r="AR13" s="225">
        <v>0</v>
      </c>
      <c r="AS13" s="225">
        <v>0</v>
      </c>
      <c r="AT13" s="225">
        <v>0</v>
      </c>
      <c r="AU13" s="225">
        <v>0</v>
      </c>
      <c r="AV13" s="225">
        <f t="shared" si="20"/>
        <v>0</v>
      </c>
      <c r="AX13" s="225">
        <f t="shared" si="21"/>
        <v>0</v>
      </c>
      <c r="AY13" s="225">
        <f t="shared" si="22"/>
        <v>0</v>
      </c>
      <c r="AZ13" s="225">
        <f t="shared" si="23"/>
        <v>0</v>
      </c>
      <c r="BA13" s="225">
        <f t="shared" si="24"/>
        <v>0</v>
      </c>
      <c r="BB13" s="225">
        <f t="shared" si="25"/>
        <v>0</v>
      </c>
      <c r="BC13" s="225">
        <f t="shared" si="26"/>
        <v>0</v>
      </c>
      <c r="BD13" s="225">
        <f t="shared" si="27"/>
        <v>0</v>
      </c>
      <c r="BE13" s="225">
        <f t="shared" si="28"/>
        <v>0</v>
      </c>
      <c r="BF13" s="225">
        <f t="shared" si="29"/>
        <v>0</v>
      </c>
      <c r="BG13" s="225">
        <f t="shared" si="2"/>
        <v>0</v>
      </c>
      <c r="BH13" s="225">
        <f t="shared" si="3"/>
        <v>0</v>
      </c>
      <c r="BI13" s="225">
        <f t="shared" si="4"/>
        <v>0</v>
      </c>
      <c r="BJ13" s="225">
        <f t="shared" si="5"/>
        <v>0</v>
      </c>
      <c r="BK13" s="225">
        <f t="shared" si="6"/>
        <v>0</v>
      </c>
      <c r="BL13" s="225">
        <f t="shared" si="7"/>
        <v>0</v>
      </c>
      <c r="BM13" s="225">
        <f t="shared" si="8"/>
        <v>0</v>
      </c>
      <c r="BN13" s="225">
        <f t="shared" si="30"/>
        <v>0</v>
      </c>
      <c r="BO13" s="225">
        <f t="shared" si="9"/>
        <v>0</v>
      </c>
      <c r="BP13" s="225"/>
      <c r="BQ13" s="225"/>
      <c r="BR13" s="225"/>
      <c r="BS13" s="225"/>
      <c r="BT13" s="225"/>
      <c r="BU13" s="225"/>
      <c r="BV13" s="225"/>
      <c r="BW13" s="225"/>
      <c r="BY13" s="176"/>
      <c r="BZ13" s="176"/>
      <c r="CA13" s="176"/>
      <c r="CB13" s="176"/>
      <c r="CC13" s="176"/>
      <c r="CD13" s="176"/>
      <c r="CE13" s="176"/>
      <c r="CF13" s="176"/>
      <c r="CH13" s="248"/>
      <c r="CI13" s="248"/>
      <c r="CJ13" s="248"/>
      <c r="CK13" s="248"/>
      <c r="CL13" s="248"/>
      <c r="CM13" s="248"/>
      <c r="CN13" s="248"/>
      <c r="CO13" s="248"/>
      <c r="CQ13" s="248"/>
      <c r="CR13" s="248"/>
      <c r="CS13" s="248"/>
      <c r="CT13" s="248"/>
      <c r="CU13" s="248"/>
      <c r="CV13" s="248"/>
      <c r="CW13" s="248"/>
      <c r="CX13" s="248"/>
      <c r="CY13" s="248"/>
      <c r="DA13" s="248"/>
      <c r="DB13" s="248"/>
      <c r="DC13" s="248"/>
      <c r="DD13" s="248"/>
      <c r="DE13" s="248"/>
      <c r="DF13" s="248"/>
      <c r="DG13" s="248"/>
      <c r="DH13" s="248"/>
      <c r="DJ13" s="179" t="e">
        <f>#REF!+((SUMIFS($F13:$AM13,$F$3:$AM$3,$DJ$7)*80%))+SUMIFS(#REF!,#REF!,$DJ$7)</f>
        <v>#REF!</v>
      </c>
      <c r="DK13" s="179">
        <f t="shared" si="10"/>
        <v>0</v>
      </c>
      <c r="DL13" s="173" t="e">
        <f t="shared" si="31"/>
        <v>#REF!</v>
      </c>
    </row>
    <row r="14" spans="1:116">
      <c r="A14" s="168">
        <v>4013</v>
      </c>
      <c r="B14" s="2">
        <v>140014</v>
      </c>
      <c r="C14" s="2" t="s">
        <v>218</v>
      </c>
      <c r="D14" s="30"/>
      <c r="E14" s="226"/>
      <c r="F14" s="176">
        <v>0</v>
      </c>
      <c r="G14" s="176">
        <v>0</v>
      </c>
      <c r="H14" s="176">
        <v>0</v>
      </c>
      <c r="I14" s="176">
        <v>0</v>
      </c>
      <c r="J14" s="176">
        <v>0</v>
      </c>
      <c r="K14" s="176">
        <v>0</v>
      </c>
      <c r="L14" s="30">
        <f t="shared" si="11"/>
        <v>0</v>
      </c>
      <c r="M14" s="176">
        <f t="shared" si="12"/>
        <v>0</v>
      </c>
      <c r="N14" s="226"/>
      <c r="O14" s="176">
        <v>0</v>
      </c>
      <c r="P14" s="176">
        <v>0</v>
      </c>
      <c r="Q14" s="176">
        <v>0</v>
      </c>
      <c r="R14" s="176">
        <v>0</v>
      </c>
      <c r="S14" s="176">
        <v>0</v>
      </c>
      <c r="T14" s="176">
        <v>0</v>
      </c>
      <c r="U14" s="176">
        <f t="shared" si="13"/>
        <v>0</v>
      </c>
      <c r="V14" s="176">
        <f t="shared" si="14"/>
        <v>0</v>
      </c>
      <c r="W14" s="226"/>
      <c r="X14" s="247"/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f t="shared" si="15"/>
        <v>0</v>
      </c>
      <c r="AE14" s="247">
        <f t="shared" si="16"/>
        <v>0</v>
      </c>
      <c r="AF14" s="226"/>
      <c r="AG14" s="247">
        <v>0</v>
      </c>
      <c r="AH14" s="247">
        <v>0</v>
      </c>
      <c r="AI14" s="247">
        <v>0</v>
      </c>
      <c r="AJ14" s="226"/>
      <c r="AK14" s="247">
        <f t="shared" si="17"/>
        <v>0</v>
      </c>
      <c r="AL14" s="247">
        <f t="shared" si="18"/>
        <v>0</v>
      </c>
      <c r="AM14" s="247">
        <f t="shared" si="19"/>
        <v>0</v>
      </c>
      <c r="AN14" s="225"/>
      <c r="AO14" s="225">
        <v>0</v>
      </c>
      <c r="AP14" s="225">
        <v>0</v>
      </c>
      <c r="AQ14" s="225">
        <v>0</v>
      </c>
      <c r="AR14" s="225">
        <v>0</v>
      </c>
      <c r="AS14" s="225">
        <v>0</v>
      </c>
      <c r="AT14" s="225">
        <v>0</v>
      </c>
      <c r="AU14" s="225">
        <v>0</v>
      </c>
      <c r="AV14" s="225">
        <f t="shared" si="20"/>
        <v>0</v>
      </c>
      <c r="AX14" s="225">
        <f t="shared" si="21"/>
        <v>0</v>
      </c>
      <c r="AY14" s="225">
        <f t="shared" si="22"/>
        <v>0</v>
      </c>
      <c r="AZ14" s="225">
        <f t="shared" si="23"/>
        <v>0</v>
      </c>
      <c r="BA14" s="225">
        <f t="shared" si="24"/>
        <v>0</v>
      </c>
      <c r="BB14" s="225">
        <f t="shared" si="25"/>
        <v>0</v>
      </c>
      <c r="BC14" s="225">
        <f t="shared" si="26"/>
        <v>0</v>
      </c>
      <c r="BD14" s="225">
        <f t="shared" si="27"/>
        <v>0</v>
      </c>
      <c r="BE14" s="225">
        <f t="shared" si="28"/>
        <v>0</v>
      </c>
      <c r="BF14" s="225">
        <f t="shared" si="29"/>
        <v>0</v>
      </c>
      <c r="BG14" s="225">
        <f t="shared" si="2"/>
        <v>0</v>
      </c>
      <c r="BH14" s="225">
        <f t="shared" si="3"/>
        <v>0</v>
      </c>
      <c r="BI14" s="225">
        <f t="shared" si="4"/>
        <v>0</v>
      </c>
      <c r="BJ14" s="225">
        <f t="shared" si="5"/>
        <v>0</v>
      </c>
      <c r="BK14" s="225">
        <f t="shared" si="6"/>
        <v>0</v>
      </c>
      <c r="BL14" s="225">
        <f t="shared" si="7"/>
        <v>0</v>
      </c>
      <c r="BM14" s="225">
        <f t="shared" si="8"/>
        <v>0</v>
      </c>
      <c r="BN14" s="225">
        <f t="shared" si="30"/>
        <v>0</v>
      </c>
      <c r="BO14" s="225">
        <f t="shared" si="9"/>
        <v>0</v>
      </c>
      <c r="BP14" s="225"/>
      <c r="BQ14" s="225"/>
      <c r="BR14" s="225"/>
      <c r="BS14" s="225"/>
      <c r="BT14" s="225"/>
      <c r="BU14" s="225"/>
      <c r="BV14" s="225"/>
      <c r="BW14" s="225"/>
      <c r="BY14" s="176"/>
      <c r="BZ14" s="176"/>
      <c r="CA14" s="176"/>
      <c r="CB14" s="176"/>
      <c r="CC14" s="176"/>
      <c r="CD14" s="176"/>
      <c r="CE14" s="176"/>
      <c r="CF14" s="176"/>
      <c r="CH14" s="248"/>
      <c r="CI14" s="248"/>
      <c r="CJ14" s="248"/>
      <c r="CK14" s="248"/>
      <c r="CL14" s="248"/>
      <c r="CM14" s="248"/>
      <c r="CN14" s="248"/>
      <c r="CO14" s="248"/>
      <c r="CQ14" s="248"/>
      <c r="CR14" s="248"/>
      <c r="CS14" s="248"/>
      <c r="CT14" s="248"/>
      <c r="CU14" s="248"/>
      <c r="CV14" s="248"/>
      <c r="CW14" s="248"/>
      <c r="CX14" s="248"/>
      <c r="CY14" s="248"/>
      <c r="DA14" s="248"/>
      <c r="DB14" s="248"/>
      <c r="DC14" s="248"/>
      <c r="DD14" s="248"/>
      <c r="DE14" s="248"/>
      <c r="DF14" s="248"/>
      <c r="DG14" s="248"/>
      <c r="DH14" s="248"/>
      <c r="DJ14" s="179" t="e">
        <f>#REF!+((SUMIFS($F14:$AM14,$F$3:$AM$3,$DJ$7)*80%))+SUMIFS(#REF!,#REF!,$DJ$7)</f>
        <v>#REF!</v>
      </c>
      <c r="DK14" s="179">
        <f t="shared" si="10"/>
        <v>0</v>
      </c>
      <c r="DL14" s="173" t="e">
        <f t="shared" si="31"/>
        <v>#REF!</v>
      </c>
    </row>
    <row r="15" spans="1:116">
      <c r="A15" s="168">
        <v>4001</v>
      </c>
      <c r="B15" s="2">
        <v>137578</v>
      </c>
      <c r="C15" s="2" t="s">
        <v>219</v>
      </c>
      <c r="D15" s="30"/>
      <c r="E15" s="226"/>
      <c r="F15" s="176">
        <v>0</v>
      </c>
      <c r="G15" s="176">
        <v>0</v>
      </c>
      <c r="H15" s="176">
        <v>28696.2</v>
      </c>
      <c r="I15" s="176">
        <v>1560</v>
      </c>
      <c r="J15" s="176">
        <v>0</v>
      </c>
      <c r="K15" s="176">
        <v>0</v>
      </c>
      <c r="L15" s="30">
        <f t="shared" si="11"/>
        <v>30256.2</v>
      </c>
      <c r="M15" s="176">
        <f t="shared" si="12"/>
        <v>24204.960000000003</v>
      </c>
      <c r="N15" s="226"/>
      <c r="O15" s="176">
        <v>0</v>
      </c>
      <c r="P15" s="176">
        <v>0</v>
      </c>
      <c r="Q15" s="176">
        <v>22074</v>
      </c>
      <c r="R15" s="176">
        <v>1365</v>
      </c>
      <c r="S15" s="176">
        <v>0</v>
      </c>
      <c r="T15" s="176">
        <v>0</v>
      </c>
      <c r="U15" s="176">
        <f t="shared" si="13"/>
        <v>23439</v>
      </c>
      <c r="V15" s="176">
        <f t="shared" si="14"/>
        <v>18751.2</v>
      </c>
      <c r="W15" s="226"/>
      <c r="X15" s="247"/>
      <c r="Y15" s="176">
        <v>0</v>
      </c>
      <c r="Z15" s="176">
        <v>22520.842105263157</v>
      </c>
      <c r="AA15" s="176">
        <v>1250.5263157894738</v>
      </c>
      <c r="AB15" s="176">
        <v>65.21883656509695</v>
      </c>
      <c r="AC15" s="176">
        <v>0</v>
      </c>
      <c r="AD15" s="176">
        <f t="shared" si="15"/>
        <v>23836.587257617728</v>
      </c>
      <c r="AE15" s="247">
        <f t="shared" si="16"/>
        <v>19069.269806094184</v>
      </c>
      <c r="AF15" s="226"/>
      <c r="AG15" s="247">
        <v>2480.3999999999996</v>
      </c>
      <c r="AH15" s="247">
        <v>1823.2499999999998</v>
      </c>
      <c r="AI15" s="247">
        <v>1926.3789473684214</v>
      </c>
      <c r="AJ15" s="226"/>
      <c r="AK15" s="247">
        <f t="shared" si="17"/>
        <v>1984.3199999999997</v>
      </c>
      <c r="AL15" s="247">
        <f t="shared" si="18"/>
        <v>1458.6</v>
      </c>
      <c r="AM15" s="247">
        <f t="shared" si="19"/>
        <v>1541.1031578947373</v>
      </c>
      <c r="AN15" s="225"/>
      <c r="AO15" s="225">
        <v>0</v>
      </c>
      <c r="AP15" s="225">
        <v>0</v>
      </c>
      <c r="AQ15" s="225">
        <v>28696.2</v>
      </c>
      <c r="AR15" s="225">
        <v>2535</v>
      </c>
      <c r="AS15" s="225">
        <v>894.94736842105272</v>
      </c>
      <c r="AT15" s="225">
        <v>0</v>
      </c>
      <c r="AU15" s="225">
        <v>2174.25</v>
      </c>
      <c r="AV15" s="225">
        <f t="shared" si="20"/>
        <v>34300.39736842105</v>
      </c>
      <c r="AX15" s="225">
        <f t="shared" si="21"/>
        <v>0</v>
      </c>
      <c r="AY15" s="225">
        <f t="shared" si="22"/>
        <v>0</v>
      </c>
      <c r="AZ15" s="225">
        <f t="shared" si="23"/>
        <v>0</v>
      </c>
      <c r="BA15" s="225">
        <f t="shared" si="24"/>
        <v>975</v>
      </c>
      <c r="BB15" s="225">
        <f t="shared" si="25"/>
        <v>894.94736842105272</v>
      </c>
      <c r="BC15" s="225">
        <f t="shared" si="26"/>
        <v>0</v>
      </c>
      <c r="BD15" s="225">
        <f t="shared" si="27"/>
        <v>-306.14999999999964</v>
      </c>
      <c r="BE15" s="225">
        <f t="shared" si="28"/>
        <v>1563.7973684210531</v>
      </c>
      <c r="BF15" s="225">
        <f t="shared" si="29"/>
        <v>0</v>
      </c>
      <c r="BG15" s="225">
        <f t="shared" si="2"/>
        <v>0</v>
      </c>
      <c r="BH15" s="225">
        <f t="shared" si="3"/>
        <v>0</v>
      </c>
      <c r="BI15" s="225">
        <f t="shared" si="4"/>
        <v>5739.239999999998</v>
      </c>
      <c r="BJ15" s="225">
        <f t="shared" si="5"/>
        <v>1287</v>
      </c>
      <c r="BK15" s="225">
        <f t="shared" si="6"/>
        <v>894.94736842105272</v>
      </c>
      <c r="BL15" s="225">
        <f t="shared" si="7"/>
        <v>0</v>
      </c>
      <c r="BM15" s="225">
        <f t="shared" si="8"/>
        <v>189.93000000000029</v>
      </c>
      <c r="BN15" s="225">
        <f t="shared" si="30"/>
        <v>8111.1173684210507</v>
      </c>
      <c r="BO15" s="225">
        <f t="shared" si="9"/>
        <v>0</v>
      </c>
      <c r="BP15" s="225"/>
      <c r="BQ15" s="225"/>
      <c r="BR15" s="225"/>
      <c r="BS15" s="225"/>
      <c r="BT15" s="225"/>
      <c r="BU15" s="225"/>
      <c r="BV15" s="225"/>
      <c r="BW15" s="225"/>
      <c r="BY15" s="176"/>
      <c r="BZ15" s="176"/>
      <c r="CA15" s="176"/>
      <c r="CB15" s="176"/>
      <c r="CC15" s="176"/>
      <c r="CD15" s="176"/>
      <c r="CE15" s="176"/>
      <c r="CF15" s="176"/>
      <c r="CH15" s="248"/>
      <c r="CI15" s="248"/>
      <c r="CJ15" s="248"/>
      <c r="CK15" s="248"/>
      <c r="CL15" s="248"/>
      <c r="CM15" s="248"/>
      <c r="CN15" s="248"/>
      <c r="CO15" s="248"/>
      <c r="CQ15" s="248"/>
      <c r="CR15" s="248"/>
      <c r="CS15" s="248"/>
      <c r="CT15" s="248"/>
      <c r="CU15" s="248"/>
      <c r="CV15" s="248"/>
      <c r="CW15" s="248"/>
      <c r="CX15" s="248"/>
      <c r="CY15" s="248"/>
      <c r="DA15" s="248"/>
      <c r="DB15" s="248"/>
      <c r="DC15" s="248"/>
      <c r="DD15" s="248"/>
      <c r="DE15" s="248"/>
      <c r="DF15" s="248"/>
      <c r="DG15" s="248"/>
      <c r="DH15" s="248"/>
      <c r="DJ15" s="179" t="e">
        <f>#REF!+((SUMIFS($F15:$AM15,$F$3:$AM$3,$DJ$7)*80%))+SUMIFS(#REF!,#REF!,$DJ$7)</f>
        <v>#REF!</v>
      </c>
      <c r="DK15" s="179">
        <f t="shared" si="10"/>
        <v>0</v>
      </c>
      <c r="DL15" s="173" t="e">
        <f t="shared" si="31"/>
        <v>#REF!</v>
      </c>
    </row>
    <row r="16" spans="1:116">
      <c r="A16" s="168">
        <v>6908</v>
      </c>
      <c r="B16" s="2">
        <v>135970</v>
      </c>
      <c r="C16" s="2" t="s">
        <v>220</v>
      </c>
      <c r="D16" s="30"/>
      <c r="E16" s="226"/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30">
        <f t="shared" si="11"/>
        <v>0</v>
      </c>
      <c r="M16" s="176">
        <f t="shared" si="12"/>
        <v>0</v>
      </c>
      <c r="N16" s="226"/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f t="shared" si="13"/>
        <v>0</v>
      </c>
      <c r="V16" s="176">
        <f t="shared" si="14"/>
        <v>0</v>
      </c>
      <c r="W16" s="226"/>
      <c r="X16" s="247"/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f t="shared" si="15"/>
        <v>0</v>
      </c>
      <c r="AE16" s="247">
        <f t="shared" si="16"/>
        <v>0</v>
      </c>
      <c r="AF16" s="226"/>
      <c r="AG16" s="247">
        <v>0</v>
      </c>
      <c r="AH16" s="247">
        <v>0</v>
      </c>
      <c r="AI16" s="247">
        <v>0</v>
      </c>
      <c r="AJ16" s="226"/>
      <c r="AK16" s="247">
        <f t="shared" si="17"/>
        <v>0</v>
      </c>
      <c r="AL16" s="247">
        <f t="shared" si="18"/>
        <v>0</v>
      </c>
      <c r="AM16" s="247">
        <f t="shared" si="19"/>
        <v>0</v>
      </c>
      <c r="AN16" s="225"/>
      <c r="AO16" s="225">
        <v>0</v>
      </c>
      <c r="AP16" s="225">
        <v>0</v>
      </c>
      <c r="AQ16" s="225">
        <v>0</v>
      </c>
      <c r="AR16" s="225">
        <v>0</v>
      </c>
      <c r="AS16" s="225">
        <v>0</v>
      </c>
      <c r="AT16" s="225">
        <v>0</v>
      </c>
      <c r="AU16" s="225">
        <v>0</v>
      </c>
      <c r="AV16" s="225">
        <f t="shared" si="20"/>
        <v>0</v>
      </c>
      <c r="AX16" s="225">
        <f t="shared" si="21"/>
        <v>0</v>
      </c>
      <c r="AY16" s="225">
        <f t="shared" si="22"/>
        <v>0</v>
      </c>
      <c r="AZ16" s="225">
        <f t="shared" si="23"/>
        <v>0</v>
      </c>
      <c r="BA16" s="225">
        <f t="shared" si="24"/>
        <v>0</v>
      </c>
      <c r="BB16" s="225">
        <f t="shared" si="25"/>
        <v>0</v>
      </c>
      <c r="BC16" s="225">
        <f t="shared" si="26"/>
        <v>0</v>
      </c>
      <c r="BD16" s="225">
        <f t="shared" si="27"/>
        <v>0</v>
      </c>
      <c r="BE16" s="225">
        <f t="shared" si="28"/>
        <v>0</v>
      </c>
      <c r="BF16" s="225">
        <f t="shared" si="29"/>
        <v>0</v>
      </c>
      <c r="BG16" s="225">
        <f t="shared" si="2"/>
        <v>0</v>
      </c>
      <c r="BH16" s="225">
        <f t="shared" si="3"/>
        <v>0</v>
      </c>
      <c r="BI16" s="225">
        <f t="shared" si="4"/>
        <v>0</v>
      </c>
      <c r="BJ16" s="225">
        <f t="shared" si="5"/>
        <v>0</v>
      </c>
      <c r="BK16" s="225">
        <f t="shared" si="6"/>
        <v>0</v>
      </c>
      <c r="BL16" s="225">
        <f t="shared" si="7"/>
        <v>0</v>
      </c>
      <c r="BM16" s="225">
        <f t="shared" si="8"/>
        <v>0</v>
      </c>
      <c r="BN16" s="225">
        <f t="shared" si="30"/>
        <v>0</v>
      </c>
      <c r="BO16" s="225">
        <f t="shared" si="9"/>
        <v>0</v>
      </c>
      <c r="BP16" s="225"/>
      <c r="BQ16" s="225"/>
      <c r="BR16" s="225"/>
      <c r="BS16" s="225"/>
      <c r="BT16" s="225"/>
      <c r="BU16" s="225"/>
      <c r="BV16" s="225"/>
      <c r="BW16" s="225"/>
      <c r="BY16" s="176"/>
      <c r="BZ16" s="176"/>
      <c r="CA16" s="176"/>
      <c r="CB16" s="176"/>
      <c r="CC16" s="176"/>
      <c r="CD16" s="176"/>
      <c r="CE16" s="176"/>
      <c r="CF16" s="176"/>
      <c r="CH16" s="248"/>
      <c r="CI16" s="248"/>
      <c r="CJ16" s="248"/>
      <c r="CK16" s="248"/>
      <c r="CL16" s="248"/>
      <c r="CM16" s="248"/>
      <c r="CN16" s="248"/>
      <c r="CO16" s="248"/>
      <c r="CQ16" s="248"/>
      <c r="CR16" s="248"/>
      <c r="CS16" s="248"/>
      <c r="CT16" s="248"/>
      <c r="CU16" s="248"/>
      <c r="CV16" s="248"/>
      <c r="CW16" s="248"/>
      <c r="CX16" s="248"/>
      <c r="CY16" s="248"/>
      <c r="DA16" s="248"/>
      <c r="DB16" s="248"/>
      <c r="DC16" s="248"/>
      <c r="DD16" s="248"/>
      <c r="DE16" s="248"/>
      <c r="DF16" s="248"/>
      <c r="DG16" s="248"/>
      <c r="DH16" s="248"/>
      <c r="DJ16" s="179" t="e">
        <f>#REF!+((SUMIFS($F16:$AM16,$F$3:$AM$3,$DJ$7)*80%))+SUMIFS(#REF!,#REF!,$DJ$7)</f>
        <v>#REF!</v>
      </c>
      <c r="DK16" s="179">
        <f t="shared" si="10"/>
        <v>0</v>
      </c>
      <c r="DL16" s="173" t="e">
        <f t="shared" si="31"/>
        <v>#REF!</v>
      </c>
    </row>
    <row r="17" spans="1:116">
      <c r="A17" s="168">
        <v>2056</v>
      </c>
      <c r="B17" s="2">
        <v>138397</v>
      </c>
      <c r="C17" s="2" t="s">
        <v>221</v>
      </c>
      <c r="D17" s="30"/>
      <c r="E17" s="226"/>
      <c r="F17" s="176">
        <v>0</v>
      </c>
      <c r="G17" s="176">
        <v>0</v>
      </c>
      <c r="H17" s="176">
        <v>41940.6</v>
      </c>
      <c r="I17" s="176">
        <v>1755</v>
      </c>
      <c r="J17" s="176">
        <v>671.21052631578948</v>
      </c>
      <c r="K17" s="176">
        <v>0</v>
      </c>
      <c r="L17" s="30">
        <f t="shared" si="11"/>
        <v>44366.810526315785</v>
      </c>
      <c r="M17" s="176">
        <f t="shared" si="12"/>
        <v>35493.448421052628</v>
      </c>
      <c r="N17" s="226"/>
      <c r="O17" s="176">
        <v>0</v>
      </c>
      <c r="P17" s="176">
        <v>0</v>
      </c>
      <c r="Q17" s="176">
        <v>40836.9</v>
      </c>
      <c r="R17" s="176">
        <v>1755</v>
      </c>
      <c r="S17" s="176">
        <v>671.21052631578948</v>
      </c>
      <c r="T17" s="176">
        <v>0</v>
      </c>
      <c r="U17" s="176">
        <f t="shared" si="13"/>
        <v>43263.110526315788</v>
      </c>
      <c r="V17" s="176">
        <f t="shared" si="14"/>
        <v>34610.488421052629</v>
      </c>
      <c r="W17" s="226"/>
      <c r="X17" s="247"/>
      <c r="Y17" s="176">
        <v>0</v>
      </c>
      <c r="Z17" s="176">
        <v>36355.073684210533</v>
      </c>
      <c r="AA17" s="176">
        <v>1421.0526315789475</v>
      </c>
      <c r="AB17" s="176">
        <v>543.49030470914124</v>
      </c>
      <c r="AC17" s="176">
        <v>0</v>
      </c>
      <c r="AD17" s="176">
        <f t="shared" si="15"/>
        <v>38319.616620498622</v>
      </c>
      <c r="AE17" s="247">
        <f t="shared" si="16"/>
        <v>30655.693296398898</v>
      </c>
      <c r="AF17" s="226"/>
      <c r="AG17" s="247">
        <v>1717.9499999999998</v>
      </c>
      <c r="AH17" s="247">
        <v>1983.15</v>
      </c>
      <c r="AI17" s="247">
        <v>1567.7052631578947</v>
      </c>
      <c r="AJ17" s="226"/>
      <c r="AK17" s="247">
        <f t="shared" si="17"/>
        <v>1374.36</v>
      </c>
      <c r="AL17" s="247">
        <f t="shared" si="18"/>
        <v>1586.5200000000002</v>
      </c>
      <c r="AM17" s="247">
        <f t="shared" si="19"/>
        <v>1254.1642105263159</v>
      </c>
      <c r="AN17" s="225"/>
      <c r="AO17" s="225">
        <v>0</v>
      </c>
      <c r="AP17" s="225">
        <v>0</v>
      </c>
      <c r="AQ17" s="225">
        <v>46355.4</v>
      </c>
      <c r="AR17" s="225">
        <v>2925</v>
      </c>
      <c r="AS17" s="225">
        <v>969.52631578947376</v>
      </c>
      <c r="AT17" s="225">
        <v>0</v>
      </c>
      <c r="AU17" s="225">
        <v>2148.8999999999996</v>
      </c>
      <c r="AV17" s="225">
        <f t="shared" si="20"/>
        <v>52398.826315789476</v>
      </c>
      <c r="AX17" s="225">
        <f t="shared" si="21"/>
        <v>0</v>
      </c>
      <c r="AY17" s="225">
        <f t="shared" si="22"/>
        <v>0</v>
      </c>
      <c r="AZ17" s="225">
        <f t="shared" si="23"/>
        <v>4414.8000000000029</v>
      </c>
      <c r="BA17" s="225">
        <f t="shared" si="24"/>
        <v>1170</v>
      </c>
      <c r="BB17" s="225">
        <f t="shared" si="25"/>
        <v>298.31578947368428</v>
      </c>
      <c r="BC17" s="225">
        <f t="shared" si="26"/>
        <v>0</v>
      </c>
      <c r="BD17" s="225">
        <f t="shared" si="27"/>
        <v>430.94999999999982</v>
      </c>
      <c r="BE17" s="225">
        <f t="shared" si="28"/>
        <v>6314.0657894736869</v>
      </c>
      <c r="BF17" s="225">
        <f t="shared" si="29"/>
        <v>0</v>
      </c>
      <c r="BG17" s="225">
        <f t="shared" si="2"/>
        <v>0</v>
      </c>
      <c r="BH17" s="225">
        <f t="shared" si="3"/>
        <v>0</v>
      </c>
      <c r="BI17" s="225">
        <f t="shared" si="4"/>
        <v>12802.919999999998</v>
      </c>
      <c r="BJ17" s="225">
        <f t="shared" si="5"/>
        <v>1521</v>
      </c>
      <c r="BK17" s="225">
        <f t="shared" si="6"/>
        <v>432.55789473684217</v>
      </c>
      <c r="BL17" s="225">
        <f t="shared" si="7"/>
        <v>0</v>
      </c>
      <c r="BM17" s="225">
        <f t="shared" si="8"/>
        <v>774.53999999999974</v>
      </c>
      <c r="BN17" s="225">
        <f t="shared" si="30"/>
        <v>15531.017894736839</v>
      </c>
      <c r="BO17" s="225">
        <f t="shared" si="9"/>
        <v>0</v>
      </c>
      <c r="BP17" s="225"/>
      <c r="BQ17" s="225"/>
      <c r="BR17" s="225"/>
      <c r="BS17" s="225"/>
      <c r="BT17" s="225"/>
      <c r="BU17" s="225"/>
      <c r="BV17" s="225"/>
      <c r="BW17" s="225"/>
      <c r="BY17" s="176"/>
      <c r="BZ17" s="176"/>
      <c r="CA17" s="176"/>
      <c r="CB17" s="176"/>
      <c r="CC17" s="176"/>
      <c r="CD17" s="176"/>
      <c r="CE17" s="176"/>
      <c r="CF17" s="176"/>
      <c r="CH17" s="248"/>
      <c r="CI17" s="248"/>
      <c r="CJ17" s="248"/>
      <c r="CK17" s="248"/>
      <c r="CL17" s="248"/>
      <c r="CM17" s="248"/>
      <c r="CN17" s="248"/>
      <c r="CO17" s="248"/>
      <c r="CQ17" s="248"/>
      <c r="CR17" s="248"/>
      <c r="CS17" s="248"/>
      <c r="CT17" s="248"/>
      <c r="CU17" s="248"/>
      <c r="CV17" s="248"/>
      <c r="CW17" s="248"/>
      <c r="CX17" s="248"/>
      <c r="CY17" s="248"/>
      <c r="DA17" s="248"/>
      <c r="DB17" s="248"/>
      <c r="DC17" s="248"/>
      <c r="DD17" s="248"/>
      <c r="DE17" s="248"/>
      <c r="DF17" s="248"/>
      <c r="DG17" s="248"/>
      <c r="DH17" s="248"/>
      <c r="DJ17" s="179" t="e">
        <f>#REF!+((SUMIFS($F17:$AM17,$F$3:$AM$3,$DJ$7)*80%))+SUMIFS(#REF!,#REF!,$DJ$7)</f>
        <v>#REF!</v>
      </c>
      <c r="DK17" s="179">
        <f t="shared" si="10"/>
        <v>0</v>
      </c>
      <c r="DL17" s="173" t="e">
        <f t="shared" si="31"/>
        <v>#REF!</v>
      </c>
    </row>
    <row r="18" spans="1:116">
      <c r="A18" s="168">
        <v>4019</v>
      </c>
      <c r="B18" s="2">
        <v>141752</v>
      </c>
      <c r="C18" s="2" t="s">
        <v>222</v>
      </c>
      <c r="D18" s="30"/>
      <c r="E18" s="226"/>
      <c r="F18" s="176">
        <v>0</v>
      </c>
      <c r="G18" s="176">
        <v>0</v>
      </c>
      <c r="H18" s="176">
        <v>94918.200000000012</v>
      </c>
      <c r="I18" s="176">
        <v>5655</v>
      </c>
      <c r="J18" s="176">
        <v>74.578947368421055</v>
      </c>
      <c r="K18" s="176">
        <v>0</v>
      </c>
      <c r="L18" s="30">
        <f t="shared" si="11"/>
        <v>100647.77894736844</v>
      </c>
      <c r="M18" s="176">
        <f t="shared" si="12"/>
        <v>80518.223157894754</v>
      </c>
      <c r="N18" s="226"/>
      <c r="O18" s="176">
        <v>0</v>
      </c>
      <c r="P18" s="176">
        <v>0</v>
      </c>
      <c r="Q18" s="176">
        <v>75051.600000000006</v>
      </c>
      <c r="R18" s="176">
        <v>1755</v>
      </c>
      <c r="S18" s="176">
        <v>596.63157894736844</v>
      </c>
      <c r="T18" s="176">
        <v>0</v>
      </c>
      <c r="U18" s="176">
        <f t="shared" si="13"/>
        <v>77403.23157894738</v>
      </c>
      <c r="V18" s="176">
        <f t="shared" si="14"/>
        <v>61922.585263157904</v>
      </c>
      <c r="W18" s="226"/>
      <c r="X18" s="247"/>
      <c r="Y18" s="176">
        <v>0</v>
      </c>
      <c r="Z18" s="176">
        <v>69814.610526315795</v>
      </c>
      <c r="AA18" s="176">
        <v>3126.3157894736842</v>
      </c>
      <c r="AB18" s="176">
        <v>565.22991689750688</v>
      </c>
      <c r="AC18" s="176">
        <v>0</v>
      </c>
      <c r="AD18" s="176">
        <f t="shared" si="15"/>
        <v>73506.156232686975</v>
      </c>
      <c r="AE18" s="247">
        <f t="shared" si="16"/>
        <v>58804.924986149585</v>
      </c>
      <c r="AF18" s="226"/>
      <c r="AG18" s="247">
        <v>982.80000000000007</v>
      </c>
      <c r="AH18" s="247">
        <v>680.55</v>
      </c>
      <c r="AI18" s="247">
        <v>719.62105263157889</v>
      </c>
      <c r="AJ18" s="226"/>
      <c r="AK18" s="247">
        <f t="shared" si="17"/>
        <v>786.24000000000012</v>
      </c>
      <c r="AL18" s="247">
        <f t="shared" si="18"/>
        <v>544.43999999999994</v>
      </c>
      <c r="AM18" s="247">
        <f t="shared" si="19"/>
        <v>575.69684210526316</v>
      </c>
      <c r="AN18" s="225"/>
      <c r="AO18" s="225">
        <v>0</v>
      </c>
      <c r="AP18" s="225">
        <v>0</v>
      </c>
      <c r="AQ18" s="225">
        <v>112577.4</v>
      </c>
      <c r="AR18" s="225">
        <v>3510</v>
      </c>
      <c r="AS18" s="225">
        <v>1342.421052631579</v>
      </c>
      <c r="AT18" s="225">
        <v>0</v>
      </c>
      <c r="AU18" s="225">
        <v>1353.3</v>
      </c>
      <c r="AV18" s="225">
        <f t="shared" si="20"/>
        <v>118783.12105263157</v>
      </c>
      <c r="AX18" s="225">
        <f t="shared" si="21"/>
        <v>0</v>
      </c>
      <c r="AY18" s="225">
        <f t="shared" si="22"/>
        <v>0</v>
      </c>
      <c r="AZ18" s="225">
        <f t="shared" si="23"/>
        <v>17659.199999999983</v>
      </c>
      <c r="BA18" s="225">
        <f t="shared" si="24"/>
        <v>-2145</v>
      </c>
      <c r="BB18" s="225">
        <f t="shared" si="25"/>
        <v>1267.8421052631579</v>
      </c>
      <c r="BC18" s="225">
        <f t="shared" si="26"/>
        <v>0</v>
      </c>
      <c r="BD18" s="225">
        <f t="shared" si="27"/>
        <v>370.49999999999989</v>
      </c>
      <c r="BE18" s="225">
        <f t="shared" si="28"/>
        <v>17152.542105263139</v>
      </c>
      <c r="BF18" s="225">
        <f t="shared" si="29"/>
        <v>0</v>
      </c>
      <c r="BG18" s="225">
        <f t="shared" si="2"/>
        <v>0</v>
      </c>
      <c r="BH18" s="225">
        <f t="shared" si="3"/>
        <v>0</v>
      </c>
      <c r="BI18" s="225">
        <f t="shared" si="4"/>
        <v>36642.839999999982</v>
      </c>
      <c r="BJ18" s="225">
        <f t="shared" si="5"/>
        <v>-1014</v>
      </c>
      <c r="BK18" s="225">
        <f t="shared" si="6"/>
        <v>1282.7578947368422</v>
      </c>
      <c r="BL18" s="225">
        <f t="shared" si="7"/>
        <v>0</v>
      </c>
      <c r="BM18" s="225">
        <f t="shared" si="8"/>
        <v>567.05999999999983</v>
      </c>
      <c r="BN18" s="225">
        <f t="shared" si="30"/>
        <v>37478.657894736825</v>
      </c>
      <c r="BO18" s="225">
        <f t="shared" si="9"/>
        <v>0</v>
      </c>
      <c r="BP18" s="225"/>
      <c r="BQ18" s="225"/>
      <c r="BR18" s="225"/>
      <c r="BS18" s="225"/>
      <c r="BT18" s="225"/>
      <c r="BU18" s="225"/>
      <c r="BV18" s="225"/>
      <c r="BW18" s="225"/>
      <c r="BY18" s="176"/>
      <c r="BZ18" s="176"/>
      <c r="CA18" s="176"/>
      <c r="CB18" s="176"/>
      <c r="CC18" s="176"/>
      <c r="CD18" s="176"/>
      <c r="CE18" s="176"/>
      <c r="CF18" s="176"/>
      <c r="CH18" s="248"/>
      <c r="CI18" s="248"/>
      <c r="CJ18" s="248"/>
      <c r="CK18" s="248"/>
      <c r="CL18" s="248"/>
      <c r="CM18" s="248"/>
      <c r="CN18" s="248"/>
      <c r="CO18" s="248"/>
      <c r="CQ18" s="248"/>
      <c r="CR18" s="248"/>
      <c r="CS18" s="248"/>
      <c r="CT18" s="248"/>
      <c r="CU18" s="248"/>
      <c r="CV18" s="248"/>
      <c r="CW18" s="248"/>
      <c r="CX18" s="248"/>
      <c r="CY18" s="248"/>
      <c r="DA18" s="248"/>
      <c r="DB18" s="248"/>
      <c r="DC18" s="248"/>
      <c r="DD18" s="248"/>
      <c r="DE18" s="248"/>
      <c r="DF18" s="248"/>
      <c r="DG18" s="248"/>
      <c r="DH18" s="248"/>
      <c r="DJ18" s="179" t="e">
        <f>#REF!+((SUMIFS($F18:$AM18,$F$3:$AM$3,$DJ$7)*80%))+SUMIFS(#REF!,#REF!,$DJ$7)</f>
        <v>#REF!</v>
      </c>
      <c r="DK18" s="179">
        <f t="shared" si="10"/>
        <v>0</v>
      </c>
      <c r="DL18" s="173" t="e">
        <f t="shared" si="31"/>
        <v>#REF!</v>
      </c>
    </row>
    <row r="19" spans="1:116">
      <c r="A19" s="168">
        <v>4220</v>
      </c>
      <c r="B19" s="2">
        <v>136882</v>
      </c>
      <c r="C19" s="2" t="s">
        <v>223</v>
      </c>
      <c r="D19" s="30"/>
      <c r="E19" s="226"/>
      <c r="F19" s="176">
        <v>0</v>
      </c>
      <c r="G19" s="176">
        <v>0</v>
      </c>
      <c r="H19" s="176">
        <v>0</v>
      </c>
      <c r="I19" s="176">
        <v>0</v>
      </c>
      <c r="J19" s="176">
        <v>0</v>
      </c>
      <c r="K19" s="176">
        <v>0</v>
      </c>
      <c r="L19" s="30">
        <f t="shared" si="11"/>
        <v>0</v>
      </c>
      <c r="M19" s="176">
        <f t="shared" si="12"/>
        <v>0</v>
      </c>
      <c r="N19" s="226"/>
      <c r="O19" s="176">
        <v>0</v>
      </c>
      <c r="P19" s="176">
        <v>0</v>
      </c>
      <c r="Q19" s="176">
        <v>0</v>
      </c>
      <c r="R19" s="176">
        <v>0</v>
      </c>
      <c r="S19" s="176">
        <v>0</v>
      </c>
      <c r="T19" s="176">
        <v>0</v>
      </c>
      <c r="U19" s="176">
        <f t="shared" si="13"/>
        <v>0</v>
      </c>
      <c r="V19" s="176">
        <f t="shared" si="14"/>
        <v>0</v>
      </c>
      <c r="W19" s="226"/>
      <c r="X19" s="247"/>
      <c r="Y19" s="176">
        <v>0</v>
      </c>
      <c r="Z19" s="176">
        <v>0</v>
      </c>
      <c r="AA19" s="176">
        <v>0</v>
      </c>
      <c r="AB19" s="176">
        <v>0</v>
      </c>
      <c r="AC19" s="176">
        <v>0</v>
      </c>
      <c r="AD19" s="176">
        <f t="shared" si="15"/>
        <v>0</v>
      </c>
      <c r="AE19" s="247">
        <f t="shared" si="16"/>
        <v>0</v>
      </c>
      <c r="AF19" s="226"/>
      <c r="AG19" s="247">
        <v>0</v>
      </c>
      <c r="AH19" s="247">
        <v>0</v>
      </c>
      <c r="AI19" s="247">
        <v>0</v>
      </c>
      <c r="AJ19" s="226"/>
      <c r="AK19" s="247">
        <f t="shared" si="17"/>
        <v>0</v>
      </c>
      <c r="AL19" s="247">
        <f t="shared" si="18"/>
        <v>0</v>
      </c>
      <c r="AM19" s="247">
        <f t="shared" si="19"/>
        <v>0</v>
      </c>
      <c r="AN19" s="225"/>
      <c r="AO19" s="225">
        <v>0</v>
      </c>
      <c r="AP19" s="225">
        <v>0</v>
      </c>
      <c r="AQ19" s="225">
        <v>0</v>
      </c>
      <c r="AR19" s="225">
        <v>0</v>
      </c>
      <c r="AS19" s="225">
        <v>0</v>
      </c>
      <c r="AT19" s="225">
        <v>0</v>
      </c>
      <c r="AU19" s="225">
        <v>0</v>
      </c>
      <c r="AV19" s="225">
        <f t="shared" si="20"/>
        <v>0</v>
      </c>
      <c r="AX19" s="225">
        <f t="shared" si="21"/>
        <v>0</v>
      </c>
      <c r="AY19" s="225">
        <f t="shared" si="22"/>
        <v>0</v>
      </c>
      <c r="AZ19" s="225">
        <f t="shared" si="23"/>
        <v>0</v>
      </c>
      <c r="BA19" s="225">
        <f t="shared" si="24"/>
        <v>0</v>
      </c>
      <c r="BB19" s="225">
        <f t="shared" si="25"/>
        <v>0</v>
      </c>
      <c r="BC19" s="225">
        <f t="shared" si="26"/>
        <v>0</v>
      </c>
      <c r="BD19" s="225">
        <f t="shared" si="27"/>
        <v>0</v>
      </c>
      <c r="BE19" s="225">
        <f t="shared" si="28"/>
        <v>0</v>
      </c>
      <c r="BF19" s="225">
        <f t="shared" si="29"/>
        <v>0</v>
      </c>
      <c r="BG19" s="225">
        <f t="shared" si="2"/>
        <v>0</v>
      </c>
      <c r="BH19" s="225">
        <f t="shared" si="3"/>
        <v>0</v>
      </c>
      <c r="BI19" s="225">
        <f t="shared" si="4"/>
        <v>0</v>
      </c>
      <c r="BJ19" s="225">
        <f t="shared" si="5"/>
        <v>0</v>
      </c>
      <c r="BK19" s="225">
        <f t="shared" si="6"/>
        <v>0</v>
      </c>
      <c r="BL19" s="225">
        <f t="shared" si="7"/>
        <v>0</v>
      </c>
      <c r="BM19" s="225">
        <f t="shared" si="8"/>
        <v>0</v>
      </c>
      <c r="BN19" s="225">
        <f t="shared" si="30"/>
        <v>0</v>
      </c>
      <c r="BO19" s="225">
        <f t="shared" si="9"/>
        <v>0</v>
      </c>
      <c r="BP19" s="225"/>
      <c r="BQ19" s="225"/>
      <c r="BR19" s="225"/>
      <c r="BS19" s="225"/>
      <c r="BT19" s="225"/>
      <c r="BU19" s="225"/>
      <c r="BV19" s="225"/>
      <c r="BW19" s="225"/>
      <c r="BY19" s="176"/>
      <c r="BZ19" s="176"/>
      <c r="CA19" s="176"/>
      <c r="CB19" s="176"/>
      <c r="CC19" s="176"/>
      <c r="CD19" s="176"/>
      <c r="CE19" s="176"/>
      <c r="CF19" s="176"/>
      <c r="CH19" s="248"/>
      <c r="CI19" s="248"/>
      <c r="CJ19" s="248"/>
      <c r="CK19" s="248"/>
      <c r="CL19" s="248"/>
      <c r="CM19" s="248"/>
      <c r="CN19" s="248"/>
      <c r="CO19" s="248"/>
      <c r="CQ19" s="248"/>
      <c r="CR19" s="248"/>
      <c r="CS19" s="248"/>
      <c r="CT19" s="248"/>
      <c r="CU19" s="248"/>
      <c r="CV19" s="248"/>
      <c r="CW19" s="248"/>
      <c r="CX19" s="248"/>
      <c r="CY19" s="248"/>
      <c r="DA19" s="248"/>
      <c r="DB19" s="248"/>
      <c r="DC19" s="248"/>
      <c r="DD19" s="248"/>
      <c r="DE19" s="248"/>
      <c r="DF19" s="248"/>
      <c r="DG19" s="248"/>
      <c r="DH19" s="248"/>
      <c r="DJ19" s="179" t="e">
        <f>#REF!+((SUMIFS($F19:$AM19,$F$3:$AM$3,$DJ$7)*80%))+SUMIFS(#REF!,#REF!,$DJ$7)</f>
        <v>#REF!</v>
      </c>
      <c r="DK19" s="179">
        <f t="shared" si="10"/>
        <v>0</v>
      </c>
      <c r="DL19" s="173" t="e">
        <f t="shared" si="31"/>
        <v>#REF!</v>
      </c>
    </row>
    <row r="20" spans="1:116">
      <c r="A20" s="168">
        <v>2443</v>
      </c>
      <c r="B20" s="2">
        <v>142686</v>
      </c>
      <c r="C20" s="2" t="s">
        <v>224</v>
      </c>
      <c r="D20" s="30"/>
      <c r="E20" s="226"/>
      <c r="F20" s="176">
        <v>0</v>
      </c>
      <c r="G20" s="176">
        <v>0</v>
      </c>
      <c r="H20" s="176">
        <v>34214.700000000004</v>
      </c>
      <c r="I20" s="176">
        <v>4290</v>
      </c>
      <c r="J20" s="176">
        <v>1417</v>
      </c>
      <c r="K20" s="176">
        <v>0</v>
      </c>
      <c r="L20" s="30">
        <f t="shared" si="11"/>
        <v>39921.700000000004</v>
      </c>
      <c r="M20" s="176">
        <f t="shared" si="12"/>
        <v>31937.360000000004</v>
      </c>
      <c r="N20" s="226"/>
      <c r="O20" s="176">
        <v>0</v>
      </c>
      <c r="P20" s="176">
        <v>0</v>
      </c>
      <c r="Q20" s="176">
        <v>28696.2</v>
      </c>
      <c r="R20" s="176">
        <v>5070</v>
      </c>
      <c r="S20" s="176">
        <v>1044.1052631578948</v>
      </c>
      <c r="T20" s="176">
        <v>0</v>
      </c>
      <c r="U20" s="176">
        <f t="shared" si="13"/>
        <v>34810.30526315789</v>
      </c>
      <c r="V20" s="176">
        <f t="shared" si="14"/>
        <v>27848.244210526314</v>
      </c>
      <c r="W20" s="226"/>
      <c r="X20" s="247"/>
      <c r="Y20" s="176">
        <v>0</v>
      </c>
      <c r="Z20" s="176">
        <v>28311.915789473682</v>
      </c>
      <c r="AA20" s="176">
        <v>3637.894736842105</v>
      </c>
      <c r="AB20" s="176">
        <v>1065.2409972299167</v>
      </c>
      <c r="AC20" s="176">
        <v>0</v>
      </c>
      <c r="AD20" s="176">
        <f t="shared" si="15"/>
        <v>33015.051523545699</v>
      </c>
      <c r="AE20" s="247">
        <f t="shared" si="16"/>
        <v>26412.041218836559</v>
      </c>
      <c r="AF20" s="226"/>
      <c r="AG20" s="247">
        <v>1698.4499999999998</v>
      </c>
      <c r="AH20" s="247">
        <v>1353.3</v>
      </c>
      <c r="AI20" s="247">
        <v>1378.4210526315787</v>
      </c>
      <c r="AJ20" s="226"/>
      <c r="AK20" s="247">
        <f t="shared" si="17"/>
        <v>1358.76</v>
      </c>
      <c r="AL20" s="247">
        <f t="shared" si="18"/>
        <v>1082.6400000000001</v>
      </c>
      <c r="AM20" s="247">
        <f t="shared" si="19"/>
        <v>1102.7368421052631</v>
      </c>
      <c r="AN20" s="225"/>
      <c r="AO20" s="225">
        <v>0</v>
      </c>
      <c r="AP20" s="225">
        <v>0</v>
      </c>
      <c r="AQ20" s="225">
        <v>30903.600000000002</v>
      </c>
      <c r="AR20" s="225">
        <v>3315</v>
      </c>
      <c r="AS20" s="225">
        <v>1193.2631578947369</v>
      </c>
      <c r="AT20" s="225">
        <v>0</v>
      </c>
      <c r="AU20" s="225">
        <v>1528.8</v>
      </c>
      <c r="AV20" s="225">
        <f t="shared" si="20"/>
        <v>36940.663157894749</v>
      </c>
      <c r="AX20" s="225">
        <f t="shared" si="21"/>
        <v>0</v>
      </c>
      <c r="AY20" s="225">
        <f t="shared" si="22"/>
        <v>0</v>
      </c>
      <c r="AZ20" s="225">
        <f t="shared" si="23"/>
        <v>-3311.1000000000022</v>
      </c>
      <c r="BA20" s="225">
        <f t="shared" si="24"/>
        <v>-975</v>
      </c>
      <c r="BB20" s="225">
        <f t="shared" si="25"/>
        <v>-223.73684210526312</v>
      </c>
      <c r="BC20" s="225">
        <f t="shared" si="26"/>
        <v>0</v>
      </c>
      <c r="BD20" s="225">
        <f t="shared" si="27"/>
        <v>-169.64999999999986</v>
      </c>
      <c r="BE20" s="225">
        <f t="shared" si="28"/>
        <v>-4679.4868421052652</v>
      </c>
      <c r="BF20" s="225">
        <f t="shared" si="29"/>
        <v>0</v>
      </c>
      <c r="BG20" s="225">
        <f t="shared" si="2"/>
        <v>0</v>
      </c>
      <c r="BH20" s="225">
        <f t="shared" si="3"/>
        <v>0</v>
      </c>
      <c r="BI20" s="225">
        <f t="shared" si="4"/>
        <v>3531.8399999999965</v>
      </c>
      <c r="BJ20" s="225">
        <f t="shared" si="5"/>
        <v>-117</v>
      </c>
      <c r="BK20" s="225">
        <f t="shared" si="6"/>
        <v>59.663157894736742</v>
      </c>
      <c r="BL20" s="225">
        <f t="shared" si="7"/>
        <v>0</v>
      </c>
      <c r="BM20" s="225">
        <f t="shared" si="8"/>
        <v>170.03999999999996</v>
      </c>
      <c r="BN20" s="225">
        <f t="shared" si="30"/>
        <v>3644.5431578947332</v>
      </c>
      <c r="BO20" s="225">
        <f t="shared" si="9"/>
        <v>0</v>
      </c>
      <c r="BP20" s="225"/>
      <c r="BQ20" s="225"/>
      <c r="BR20" s="225"/>
      <c r="BS20" s="225"/>
      <c r="BT20" s="225"/>
      <c r="BU20" s="225"/>
      <c r="BV20" s="225"/>
      <c r="BW20" s="225"/>
      <c r="BY20" s="176"/>
      <c r="BZ20" s="176"/>
      <c r="CA20" s="176"/>
      <c r="CB20" s="176"/>
      <c r="CC20" s="176"/>
      <c r="CD20" s="176"/>
      <c r="CE20" s="176"/>
      <c r="CF20" s="176"/>
      <c r="CH20" s="248"/>
      <c r="CI20" s="248"/>
      <c r="CJ20" s="248"/>
      <c r="CK20" s="248"/>
      <c r="CL20" s="248"/>
      <c r="CM20" s="248"/>
      <c r="CN20" s="248"/>
      <c r="CO20" s="248"/>
      <c r="CQ20" s="248"/>
      <c r="CR20" s="248"/>
      <c r="CS20" s="248"/>
      <c r="CT20" s="248"/>
      <c r="CU20" s="248"/>
      <c r="CV20" s="248"/>
      <c r="CW20" s="248"/>
      <c r="CX20" s="248"/>
      <c r="CY20" s="248"/>
      <c r="DA20" s="248"/>
      <c r="DB20" s="248"/>
      <c r="DC20" s="248"/>
      <c r="DD20" s="248"/>
      <c r="DE20" s="248"/>
      <c r="DF20" s="248"/>
      <c r="DG20" s="248"/>
      <c r="DH20" s="248"/>
      <c r="DJ20" s="179" t="e">
        <f>#REF!+((SUMIFS($F20:$AM20,$F$3:$AM$3,$DJ$7)*80%))+SUMIFS(#REF!,#REF!,$DJ$7)</f>
        <v>#REF!</v>
      </c>
      <c r="DK20" s="179">
        <f t="shared" si="10"/>
        <v>0</v>
      </c>
      <c r="DL20" s="173" t="e">
        <f t="shared" si="31"/>
        <v>#REF!</v>
      </c>
    </row>
    <row r="21" spans="1:116">
      <c r="A21" s="168">
        <v>4003</v>
      </c>
      <c r="B21" s="2">
        <v>138222</v>
      </c>
      <c r="C21" s="2" t="s">
        <v>225</v>
      </c>
      <c r="D21" s="30"/>
      <c r="E21" s="226"/>
      <c r="F21" s="176">
        <v>0</v>
      </c>
      <c r="G21" s="176">
        <v>0</v>
      </c>
      <c r="H21" s="176">
        <v>0</v>
      </c>
      <c r="I21" s="176">
        <v>0</v>
      </c>
      <c r="J21" s="176">
        <v>0</v>
      </c>
      <c r="K21" s="176">
        <v>0</v>
      </c>
      <c r="L21" s="30">
        <f t="shared" si="11"/>
        <v>0</v>
      </c>
      <c r="M21" s="176">
        <f t="shared" si="12"/>
        <v>0</v>
      </c>
      <c r="N21" s="226"/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  <c r="U21" s="176">
        <f t="shared" si="13"/>
        <v>0</v>
      </c>
      <c r="V21" s="176">
        <f t="shared" si="14"/>
        <v>0</v>
      </c>
      <c r="W21" s="226"/>
      <c r="X21" s="247"/>
      <c r="Y21" s="176">
        <v>0</v>
      </c>
      <c r="Z21" s="176">
        <v>0</v>
      </c>
      <c r="AA21" s="176">
        <v>0</v>
      </c>
      <c r="AB21" s="176">
        <v>0</v>
      </c>
      <c r="AC21" s="176">
        <v>0</v>
      </c>
      <c r="AD21" s="176">
        <f t="shared" si="15"/>
        <v>0</v>
      </c>
      <c r="AE21" s="247">
        <f t="shared" si="16"/>
        <v>0</v>
      </c>
      <c r="AF21" s="226"/>
      <c r="AG21" s="247">
        <v>0</v>
      </c>
      <c r="AH21" s="247">
        <v>0</v>
      </c>
      <c r="AI21" s="247">
        <v>0</v>
      </c>
      <c r="AJ21" s="226"/>
      <c r="AK21" s="247">
        <f t="shared" si="17"/>
        <v>0</v>
      </c>
      <c r="AL21" s="247">
        <f t="shared" si="18"/>
        <v>0</v>
      </c>
      <c r="AM21" s="247">
        <f t="shared" si="19"/>
        <v>0</v>
      </c>
      <c r="AN21" s="225"/>
      <c r="AO21" s="225">
        <v>0</v>
      </c>
      <c r="AP21" s="225">
        <v>0</v>
      </c>
      <c r="AQ21" s="225">
        <v>0</v>
      </c>
      <c r="AR21" s="225">
        <v>0</v>
      </c>
      <c r="AS21" s="225">
        <v>0</v>
      </c>
      <c r="AT21" s="225">
        <v>0</v>
      </c>
      <c r="AU21" s="225">
        <v>0</v>
      </c>
      <c r="AV21" s="225">
        <f t="shared" si="20"/>
        <v>0</v>
      </c>
      <c r="AX21" s="225">
        <f t="shared" si="21"/>
        <v>0</v>
      </c>
      <c r="AY21" s="225">
        <f t="shared" si="22"/>
        <v>0</v>
      </c>
      <c r="AZ21" s="225">
        <f t="shared" si="23"/>
        <v>0</v>
      </c>
      <c r="BA21" s="225">
        <f t="shared" si="24"/>
        <v>0</v>
      </c>
      <c r="BB21" s="225">
        <f t="shared" si="25"/>
        <v>0</v>
      </c>
      <c r="BC21" s="225">
        <f t="shared" si="26"/>
        <v>0</v>
      </c>
      <c r="BD21" s="225">
        <f t="shared" si="27"/>
        <v>0</v>
      </c>
      <c r="BE21" s="225">
        <f t="shared" si="28"/>
        <v>0</v>
      </c>
      <c r="BF21" s="225">
        <f t="shared" si="29"/>
        <v>0</v>
      </c>
      <c r="BG21" s="225">
        <f t="shared" si="2"/>
        <v>0</v>
      </c>
      <c r="BH21" s="225">
        <f t="shared" si="3"/>
        <v>0</v>
      </c>
      <c r="BI21" s="225">
        <f t="shared" si="4"/>
        <v>0</v>
      </c>
      <c r="BJ21" s="225">
        <f t="shared" si="5"/>
        <v>0</v>
      </c>
      <c r="BK21" s="225">
        <f t="shared" si="6"/>
        <v>0</v>
      </c>
      <c r="BL21" s="225">
        <f t="shared" si="7"/>
        <v>0</v>
      </c>
      <c r="BM21" s="225">
        <f t="shared" si="8"/>
        <v>0</v>
      </c>
      <c r="BN21" s="225">
        <f t="shared" si="30"/>
        <v>0</v>
      </c>
      <c r="BO21" s="225">
        <f t="shared" si="9"/>
        <v>0</v>
      </c>
      <c r="BP21" s="225"/>
      <c r="BQ21" s="225"/>
      <c r="BR21" s="225"/>
      <c r="BS21" s="225"/>
      <c r="BT21" s="225"/>
      <c r="BU21" s="225"/>
      <c r="BV21" s="225"/>
      <c r="BW21" s="225"/>
      <c r="BY21" s="176"/>
      <c r="BZ21" s="176"/>
      <c r="CA21" s="176"/>
      <c r="CB21" s="176"/>
      <c r="CC21" s="176"/>
      <c r="CD21" s="176"/>
      <c r="CE21" s="176"/>
      <c r="CF21" s="176"/>
      <c r="CH21" s="248"/>
      <c r="CI21" s="248"/>
      <c r="CJ21" s="248"/>
      <c r="CK21" s="248"/>
      <c r="CL21" s="248"/>
      <c r="CM21" s="248"/>
      <c r="CN21" s="248"/>
      <c r="CO21" s="248"/>
      <c r="CQ21" s="248"/>
      <c r="CR21" s="248"/>
      <c r="CS21" s="248"/>
      <c r="CT21" s="248"/>
      <c r="CU21" s="248"/>
      <c r="CV21" s="248"/>
      <c r="CW21" s="248"/>
      <c r="CX21" s="248"/>
      <c r="CY21" s="248"/>
      <c r="DA21" s="248"/>
      <c r="DB21" s="248"/>
      <c r="DC21" s="248"/>
      <c r="DD21" s="248"/>
      <c r="DE21" s="248"/>
      <c r="DF21" s="248"/>
      <c r="DG21" s="248"/>
      <c r="DH21" s="248"/>
      <c r="DJ21" s="179" t="e">
        <f>#REF!+((SUMIFS($F21:$AM21,$F$3:$AM$3,$DJ$7)*80%))+SUMIFS(#REF!,#REF!,$DJ$7)</f>
        <v>#REF!</v>
      </c>
      <c r="DK21" s="179">
        <f t="shared" si="10"/>
        <v>0</v>
      </c>
      <c r="DL21" s="173" t="e">
        <f t="shared" si="31"/>
        <v>#REF!</v>
      </c>
    </row>
    <row r="22" spans="1:116">
      <c r="A22" s="168">
        <v>3412</v>
      </c>
      <c r="B22" s="2">
        <v>143437</v>
      </c>
      <c r="C22" s="2" t="s">
        <v>226</v>
      </c>
      <c r="D22" s="30"/>
      <c r="E22" s="226"/>
      <c r="F22" s="176">
        <v>0</v>
      </c>
      <c r="G22" s="176">
        <v>0</v>
      </c>
      <c r="H22" s="176">
        <v>64014.6</v>
      </c>
      <c r="I22" s="176">
        <v>6435</v>
      </c>
      <c r="J22" s="176">
        <v>2311.9473684210525</v>
      </c>
      <c r="K22" s="176">
        <v>0</v>
      </c>
      <c r="L22" s="30">
        <f t="shared" si="11"/>
        <v>72761.547368421059</v>
      </c>
      <c r="M22" s="176">
        <f t="shared" si="12"/>
        <v>58209.237894736849</v>
      </c>
      <c r="N22" s="226"/>
      <c r="O22" s="176">
        <v>0</v>
      </c>
      <c r="P22" s="176">
        <v>0</v>
      </c>
      <c r="Q22" s="176">
        <v>68429.400000000009</v>
      </c>
      <c r="R22" s="176">
        <v>2535</v>
      </c>
      <c r="S22" s="176">
        <v>969.52631578947376</v>
      </c>
      <c r="T22" s="176">
        <v>0</v>
      </c>
      <c r="U22" s="176">
        <f t="shared" si="13"/>
        <v>71933.926315789489</v>
      </c>
      <c r="V22" s="176">
        <f t="shared" si="14"/>
        <v>57547.141052631596</v>
      </c>
      <c r="W22" s="226"/>
      <c r="X22" s="247"/>
      <c r="Y22" s="176">
        <v>0</v>
      </c>
      <c r="Z22" s="176">
        <v>55980.37894736843</v>
      </c>
      <c r="AA22" s="176">
        <v>4149.4736842105267</v>
      </c>
      <c r="AB22" s="176">
        <v>1521.7728531855955</v>
      </c>
      <c r="AC22" s="176">
        <v>0</v>
      </c>
      <c r="AD22" s="176">
        <f t="shared" si="15"/>
        <v>61651.625484764554</v>
      </c>
      <c r="AE22" s="247">
        <f t="shared" si="16"/>
        <v>49321.300387811643</v>
      </c>
      <c r="AF22" s="226"/>
      <c r="AG22" s="247">
        <v>3999.45</v>
      </c>
      <c r="AH22" s="247">
        <v>3160.95</v>
      </c>
      <c r="AI22" s="247">
        <v>3128.0210526315791</v>
      </c>
      <c r="AJ22" s="226"/>
      <c r="AK22" s="247">
        <f t="shared" si="17"/>
        <v>3199.56</v>
      </c>
      <c r="AL22" s="247">
        <f t="shared" si="18"/>
        <v>2528.7600000000002</v>
      </c>
      <c r="AM22" s="247">
        <f t="shared" si="19"/>
        <v>2502.4168421052636</v>
      </c>
      <c r="AN22" s="225"/>
      <c r="AO22" s="225">
        <v>0</v>
      </c>
      <c r="AP22" s="225">
        <v>0</v>
      </c>
      <c r="AQ22" s="225">
        <v>93814.5</v>
      </c>
      <c r="AR22" s="225">
        <v>6435</v>
      </c>
      <c r="AS22" s="225">
        <v>2461.105263157895</v>
      </c>
      <c r="AT22" s="225">
        <v>0</v>
      </c>
      <c r="AU22" s="225">
        <v>4937.3999999999996</v>
      </c>
      <c r="AV22" s="225">
        <f t="shared" si="20"/>
        <v>107648.00526315789</v>
      </c>
      <c r="AX22" s="225">
        <f t="shared" si="21"/>
        <v>0</v>
      </c>
      <c r="AY22" s="225">
        <f t="shared" si="22"/>
        <v>0</v>
      </c>
      <c r="AZ22" s="225">
        <f t="shared" si="23"/>
        <v>29799.9</v>
      </c>
      <c r="BA22" s="225">
        <f t="shared" si="24"/>
        <v>0</v>
      </c>
      <c r="BB22" s="225">
        <f t="shared" si="25"/>
        <v>149.15789473684254</v>
      </c>
      <c r="BC22" s="225">
        <f t="shared" si="26"/>
        <v>0</v>
      </c>
      <c r="BD22" s="225">
        <f t="shared" si="27"/>
        <v>937.94999999999982</v>
      </c>
      <c r="BE22" s="225">
        <f t="shared" si="28"/>
        <v>30887.007894736846</v>
      </c>
      <c r="BF22" s="225">
        <f t="shared" si="29"/>
        <v>0</v>
      </c>
      <c r="BG22" s="225">
        <f t="shared" si="2"/>
        <v>0</v>
      </c>
      <c r="BH22" s="225">
        <f t="shared" si="3"/>
        <v>0</v>
      </c>
      <c r="BI22" s="225">
        <f t="shared" si="4"/>
        <v>42602.82</v>
      </c>
      <c r="BJ22" s="225">
        <f t="shared" si="5"/>
        <v>1287</v>
      </c>
      <c r="BK22" s="225">
        <f t="shared" si="6"/>
        <v>611.54736842105285</v>
      </c>
      <c r="BL22" s="225">
        <f t="shared" si="7"/>
        <v>0</v>
      </c>
      <c r="BM22" s="225">
        <f t="shared" si="8"/>
        <v>1737.8399999999997</v>
      </c>
      <c r="BN22" s="225">
        <f t="shared" si="30"/>
        <v>46239.207368421048</v>
      </c>
      <c r="BO22" s="225">
        <f t="shared" si="9"/>
        <v>0</v>
      </c>
      <c r="BP22" s="225"/>
      <c r="BQ22" s="225"/>
      <c r="BR22" s="225"/>
      <c r="BS22" s="225"/>
      <c r="BT22" s="225"/>
      <c r="BU22" s="225"/>
      <c r="BV22" s="225"/>
      <c r="BW22" s="225"/>
      <c r="BY22" s="176"/>
      <c r="BZ22" s="176"/>
      <c r="CA22" s="176"/>
      <c r="CB22" s="176"/>
      <c r="CC22" s="176"/>
      <c r="CD22" s="176"/>
      <c r="CE22" s="176"/>
      <c r="CF22" s="176"/>
      <c r="CH22" s="248"/>
      <c r="CI22" s="248"/>
      <c r="CJ22" s="248"/>
      <c r="CK22" s="248"/>
      <c r="CL22" s="248"/>
      <c r="CM22" s="248"/>
      <c r="CN22" s="248"/>
      <c r="CO22" s="248"/>
      <c r="CQ22" s="248"/>
      <c r="CR22" s="248"/>
      <c r="CS22" s="248"/>
      <c r="CT22" s="248"/>
      <c r="CU22" s="248"/>
      <c r="CV22" s="248"/>
      <c r="CW22" s="248"/>
      <c r="CX22" s="248"/>
      <c r="CY22" s="248"/>
      <c r="DA22" s="248"/>
      <c r="DB22" s="248"/>
      <c r="DC22" s="248"/>
      <c r="DD22" s="248"/>
      <c r="DE22" s="248"/>
      <c r="DF22" s="248"/>
      <c r="DG22" s="248"/>
      <c r="DH22" s="248"/>
      <c r="DJ22" s="179" t="e">
        <f>#REF!+((SUMIFS($F22:$AM22,$F$3:$AM$3,$DJ$7)*80%))+SUMIFS(#REF!,#REF!,$DJ$7)</f>
        <v>#REF!</v>
      </c>
      <c r="DK22" s="179">
        <f t="shared" si="10"/>
        <v>0</v>
      </c>
      <c r="DL22" s="173" t="e">
        <f t="shared" si="31"/>
        <v>#REF!</v>
      </c>
    </row>
    <row r="23" spans="1:116">
      <c r="A23" s="168">
        <v>2450</v>
      </c>
      <c r="B23" s="2">
        <v>138694</v>
      </c>
      <c r="C23" s="2" t="s">
        <v>227</v>
      </c>
      <c r="D23" s="30"/>
      <c r="E23" s="226"/>
      <c r="F23" s="176">
        <v>0</v>
      </c>
      <c r="G23" s="176">
        <v>0</v>
      </c>
      <c r="H23" s="176">
        <v>51873.900000000009</v>
      </c>
      <c r="I23" s="176">
        <v>1950</v>
      </c>
      <c r="J23" s="176">
        <v>596.63157894736844</v>
      </c>
      <c r="K23" s="176">
        <v>0</v>
      </c>
      <c r="L23" s="30">
        <f t="shared" si="11"/>
        <v>54420.531578947375</v>
      </c>
      <c r="M23" s="176">
        <f t="shared" si="12"/>
        <v>43536.4252631579</v>
      </c>
      <c r="N23" s="226"/>
      <c r="O23" s="176">
        <v>0</v>
      </c>
      <c r="P23" s="176">
        <v>0</v>
      </c>
      <c r="Q23" s="176">
        <v>48562.8</v>
      </c>
      <c r="R23" s="176">
        <v>390</v>
      </c>
      <c r="S23" s="176">
        <v>149.15789473684211</v>
      </c>
      <c r="T23" s="176">
        <v>0</v>
      </c>
      <c r="U23" s="176">
        <f t="shared" si="13"/>
        <v>49101.957894736843</v>
      </c>
      <c r="V23" s="176">
        <f t="shared" si="14"/>
        <v>39281.566315789474</v>
      </c>
      <c r="W23" s="226"/>
      <c r="X23" s="247"/>
      <c r="Y23" s="176">
        <v>0</v>
      </c>
      <c r="Z23" s="176">
        <v>44076.505263157895</v>
      </c>
      <c r="AA23" s="176">
        <v>1193.6842105263158</v>
      </c>
      <c r="AB23" s="176">
        <v>413.05263157894734</v>
      </c>
      <c r="AC23" s="176">
        <v>0</v>
      </c>
      <c r="AD23" s="176">
        <f t="shared" si="15"/>
        <v>45683.242105263154</v>
      </c>
      <c r="AE23" s="247">
        <f t="shared" si="16"/>
        <v>36546.593684210522</v>
      </c>
      <c r="AF23" s="226"/>
      <c r="AG23" s="247">
        <v>356.84999999999997</v>
      </c>
      <c r="AH23" s="247">
        <v>72.149999999999991</v>
      </c>
      <c r="AI23" s="247">
        <v>229.07368421052627</v>
      </c>
      <c r="AJ23" s="226"/>
      <c r="AK23" s="247">
        <f t="shared" si="17"/>
        <v>285.47999999999996</v>
      </c>
      <c r="AL23" s="247">
        <f t="shared" si="18"/>
        <v>57.72</v>
      </c>
      <c r="AM23" s="247">
        <f t="shared" si="19"/>
        <v>183.25894736842102</v>
      </c>
      <c r="AN23" s="225"/>
      <c r="AO23" s="225">
        <v>0</v>
      </c>
      <c r="AP23" s="225">
        <v>0</v>
      </c>
      <c r="AQ23" s="225">
        <v>50770.2</v>
      </c>
      <c r="AR23" s="225">
        <v>585</v>
      </c>
      <c r="AS23" s="225">
        <v>223.73684210526318</v>
      </c>
      <c r="AT23" s="225">
        <v>0</v>
      </c>
      <c r="AU23" s="225">
        <v>72.149999999999991</v>
      </c>
      <c r="AV23" s="225">
        <f t="shared" si="20"/>
        <v>51651.086842105258</v>
      </c>
      <c r="AX23" s="225">
        <f t="shared" si="21"/>
        <v>0</v>
      </c>
      <c r="AY23" s="225">
        <f t="shared" si="22"/>
        <v>0</v>
      </c>
      <c r="AZ23" s="225">
        <f t="shared" si="23"/>
        <v>-1103.7000000000116</v>
      </c>
      <c r="BA23" s="225">
        <f t="shared" si="24"/>
        <v>-1365</v>
      </c>
      <c r="BB23" s="225">
        <f t="shared" si="25"/>
        <v>-372.89473684210526</v>
      </c>
      <c r="BC23" s="225">
        <f t="shared" si="26"/>
        <v>0</v>
      </c>
      <c r="BD23" s="225">
        <f t="shared" si="27"/>
        <v>-284.7</v>
      </c>
      <c r="BE23" s="225">
        <f t="shared" si="28"/>
        <v>-3126.2947368421169</v>
      </c>
      <c r="BF23" s="225">
        <f t="shared" si="29"/>
        <v>0</v>
      </c>
      <c r="BG23" s="225">
        <f t="shared" si="2"/>
        <v>0</v>
      </c>
      <c r="BH23" s="225">
        <f t="shared" si="3"/>
        <v>0</v>
      </c>
      <c r="BI23" s="225">
        <f t="shared" si="4"/>
        <v>9271.0799999999872</v>
      </c>
      <c r="BJ23" s="225">
        <f t="shared" si="5"/>
        <v>-975</v>
      </c>
      <c r="BK23" s="225">
        <f t="shared" si="6"/>
        <v>-253.56842105263161</v>
      </c>
      <c r="BL23" s="225">
        <f t="shared" si="7"/>
        <v>0</v>
      </c>
      <c r="BM23" s="225">
        <f t="shared" si="8"/>
        <v>-213.32999999999998</v>
      </c>
      <c r="BN23" s="225">
        <f t="shared" si="30"/>
        <v>7829.1815789473558</v>
      </c>
      <c r="BO23" s="225">
        <f t="shared" si="9"/>
        <v>0</v>
      </c>
      <c r="BP23" s="225"/>
      <c r="BQ23" s="225"/>
      <c r="BR23" s="225"/>
      <c r="BS23" s="225"/>
      <c r="BT23" s="225"/>
      <c r="BU23" s="225"/>
      <c r="BV23" s="225"/>
      <c r="BW23" s="225"/>
      <c r="BY23" s="176"/>
      <c r="BZ23" s="176"/>
      <c r="CA23" s="176"/>
      <c r="CB23" s="176"/>
      <c r="CC23" s="176"/>
      <c r="CD23" s="176"/>
      <c r="CE23" s="176"/>
      <c r="CF23" s="176"/>
      <c r="CH23" s="248"/>
      <c r="CI23" s="248"/>
      <c r="CJ23" s="248"/>
      <c r="CK23" s="248"/>
      <c r="CL23" s="248"/>
      <c r="CM23" s="248"/>
      <c r="CN23" s="248"/>
      <c r="CO23" s="248"/>
      <c r="CQ23" s="248"/>
      <c r="CR23" s="248"/>
      <c r="CS23" s="248"/>
      <c r="CT23" s="248"/>
      <c r="CU23" s="248"/>
      <c r="CV23" s="248"/>
      <c r="CW23" s="248"/>
      <c r="CX23" s="248"/>
      <c r="CY23" s="248"/>
      <c r="DA23" s="248"/>
      <c r="DB23" s="248"/>
      <c r="DC23" s="248"/>
      <c r="DD23" s="248"/>
      <c r="DE23" s="248"/>
      <c r="DF23" s="248"/>
      <c r="DG23" s="248"/>
      <c r="DH23" s="248"/>
      <c r="DJ23" s="179" t="e">
        <f>#REF!+((SUMIFS($F23:$AM23,$F$3:$AM$3,$DJ$7)*80%))+SUMIFS(#REF!,#REF!,$DJ$7)</f>
        <v>#REF!</v>
      </c>
      <c r="DK23" s="179">
        <f t="shared" si="10"/>
        <v>0</v>
      </c>
      <c r="DL23" s="173" t="e">
        <f t="shared" si="31"/>
        <v>#REF!</v>
      </c>
    </row>
    <row r="24" spans="1:116">
      <c r="A24" s="168">
        <v>4108</v>
      </c>
      <c r="B24" s="2">
        <v>136589</v>
      </c>
      <c r="C24" s="2" t="s">
        <v>228</v>
      </c>
      <c r="D24" s="30"/>
      <c r="E24" s="226"/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30">
        <f t="shared" si="11"/>
        <v>0</v>
      </c>
      <c r="M24" s="176">
        <f t="shared" si="12"/>
        <v>0</v>
      </c>
      <c r="N24" s="226"/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f t="shared" si="13"/>
        <v>0</v>
      </c>
      <c r="V24" s="176">
        <f t="shared" si="14"/>
        <v>0</v>
      </c>
      <c r="W24" s="226"/>
      <c r="X24" s="247"/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f t="shared" si="15"/>
        <v>0</v>
      </c>
      <c r="AE24" s="247">
        <f t="shared" si="16"/>
        <v>0</v>
      </c>
      <c r="AF24" s="226"/>
      <c r="AG24" s="247">
        <v>0</v>
      </c>
      <c r="AH24" s="247">
        <v>0</v>
      </c>
      <c r="AI24" s="247">
        <v>0</v>
      </c>
      <c r="AJ24" s="226"/>
      <c r="AK24" s="247">
        <f t="shared" si="17"/>
        <v>0</v>
      </c>
      <c r="AL24" s="247">
        <f t="shared" si="18"/>
        <v>0</v>
      </c>
      <c r="AM24" s="247">
        <f t="shared" si="19"/>
        <v>0</v>
      </c>
      <c r="AN24" s="225"/>
      <c r="AO24" s="225">
        <v>0</v>
      </c>
      <c r="AP24" s="225">
        <v>0</v>
      </c>
      <c r="AQ24" s="225">
        <v>0</v>
      </c>
      <c r="AR24" s="225">
        <v>0</v>
      </c>
      <c r="AS24" s="225">
        <v>0</v>
      </c>
      <c r="AT24" s="225">
        <v>0</v>
      </c>
      <c r="AU24" s="225">
        <v>0</v>
      </c>
      <c r="AV24" s="225">
        <f t="shared" si="20"/>
        <v>0</v>
      </c>
      <c r="AX24" s="225">
        <f t="shared" si="21"/>
        <v>0</v>
      </c>
      <c r="AY24" s="225">
        <f t="shared" si="22"/>
        <v>0</v>
      </c>
      <c r="AZ24" s="225">
        <f t="shared" si="23"/>
        <v>0</v>
      </c>
      <c r="BA24" s="225">
        <f t="shared" si="24"/>
        <v>0</v>
      </c>
      <c r="BB24" s="225">
        <f t="shared" si="25"/>
        <v>0</v>
      </c>
      <c r="BC24" s="225">
        <f t="shared" si="26"/>
        <v>0</v>
      </c>
      <c r="BD24" s="225">
        <f t="shared" si="27"/>
        <v>0</v>
      </c>
      <c r="BE24" s="225">
        <f t="shared" si="28"/>
        <v>0</v>
      </c>
      <c r="BF24" s="225">
        <f t="shared" si="29"/>
        <v>0</v>
      </c>
      <c r="BG24" s="225">
        <f t="shared" si="2"/>
        <v>0</v>
      </c>
      <c r="BH24" s="225">
        <f t="shared" si="3"/>
        <v>0</v>
      </c>
      <c r="BI24" s="225">
        <f t="shared" si="4"/>
        <v>0</v>
      </c>
      <c r="BJ24" s="225">
        <f t="shared" si="5"/>
        <v>0</v>
      </c>
      <c r="BK24" s="225">
        <f t="shared" si="6"/>
        <v>0</v>
      </c>
      <c r="BL24" s="225">
        <f t="shared" si="7"/>
        <v>0</v>
      </c>
      <c r="BM24" s="225">
        <f t="shared" si="8"/>
        <v>0</v>
      </c>
      <c r="BN24" s="225">
        <f t="shared" si="30"/>
        <v>0</v>
      </c>
      <c r="BO24" s="225">
        <f t="shared" si="9"/>
        <v>0</v>
      </c>
      <c r="BP24" s="225"/>
      <c r="BQ24" s="225"/>
      <c r="BR24" s="225"/>
      <c r="BS24" s="225"/>
      <c r="BT24" s="225"/>
      <c r="BU24" s="225"/>
      <c r="BV24" s="225"/>
      <c r="BW24" s="225"/>
      <c r="BY24" s="176"/>
      <c r="BZ24" s="176"/>
      <c r="CA24" s="176"/>
      <c r="CB24" s="176"/>
      <c r="CC24" s="176"/>
      <c r="CD24" s="176"/>
      <c r="CE24" s="176"/>
      <c r="CF24" s="176"/>
      <c r="CH24" s="248"/>
      <c r="CI24" s="248"/>
      <c r="CJ24" s="248"/>
      <c r="CK24" s="248"/>
      <c r="CL24" s="248"/>
      <c r="CM24" s="248"/>
      <c r="CN24" s="248"/>
      <c r="CO24" s="248"/>
      <c r="CQ24" s="248"/>
      <c r="CR24" s="248"/>
      <c r="CS24" s="248"/>
      <c r="CT24" s="248"/>
      <c r="CU24" s="248"/>
      <c r="CV24" s="248"/>
      <c r="CW24" s="248"/>
      <c r="CX24" s="248"/>
      <c r="CY24" s="248"/>
      <c r="DA24" s="248"/>
      <c r="DB24" s="248"/>
      <c r="DC24" s="248"/>
      <c r="DD24" s="248"/>
      <c r="DE24" s="248"/>
      <c r="DF24" s="248"/>
      <c r="DG24" s="248"/>
      <c r="DH24" s="248"/>
      <c r="DJ24" s="179" t="e">
        <f>#REF!+((SUMIFS($F24:$AM24,$F$3:$AM$3,$DJ$7)*80%))+SUMIFS(#REF!,#REF!,$DJ$7)</f>
        <v>#REF!</v>
      </c>
      <c r="DK24" s="179">
        <f t="shared" si="10"/>
        <v>0</v>
      </c>
      <c r="DL24" s="173" t="e">
        <f t="shared" si="31"/>
        <v>#REF!</v>
      </c>
    </row>
    <row r="25" spans="1:116">
      <c r="A25" s="168">
        <v>2072</v>
      </c>
      <c r="B25" s="2">
        <v>138888</v>
      </c>
      <c r="C25" s="2" t="s">
        <v>229</v>
      </c>
      <c r="D25" s="30"/>
      <c r="E25" s="226"/>
      <c r="F25" s="176">
        <v>0</v>
      </c>
      <c r="G25" s="176">
        <v>0</v>
      </c>
      <c r="H25" s="176">
        <v>69533.100000000006</v>
      </c>
      <c r="I25" s="176">
        <v>4485</v>
      </c>
      <c r="J25" s="176">
        <v>671.21052631578948</v>
      </c>
      <c r="K25" s="176">
        <v>0</v>
      </c>
      <c r="L25" s="30">
        <f t="shared" si="11"/>
        <v>74689.310526315792</v>
      </c>
      <c r="M25" s="176">
        <f t="shared" si="12"/>
        <v>59751.448421052635</v>
      </c>
      <c r="N25" s="226"/>
      <c r="O25" s="176">
        <v>0</v>
      </c>
      <c r="P25" s="176">
        <v>0</v>
      </c>
      <c r="Q25" s="176">
        <v>71740.5</v>
      </c>
      <c r="R25" s="176">
        <v>2535</v>
      </c>
      <c r="S25" s="176">
        <v>969.52631578947376</v>
      </c>
      <c r="T25" s="176">
        <v>0</v>
      </c>
      <c r="U25" s="176">
        <f t="shared" si="13"/>
        <v>75245.026315789481</v>
      </c>
      <c r="V25" s="176">
        <f t="shared" si="14"/>
        <v>60196.021052631586</v>
      </c>
      <c r="W25" s="226"/>
      <c r="X25" s="247"/>
      <c r="Y25" s="176">
        <v>0</v>
      </c>
      <c r="Z25" s="176">
        <v>62093.178947368418</v>
      </c>
      <c r="AA25" s="176">
        <v>3240</v>
      </c>
      <c r="AB25" s="176">
        <v>913.06371191135736</v>
      </c>
      <c r="AC25" s="176">
        <v>0</v>
      </c>
      <c r="AD25" s="176">
        <f t="shared" si="15"/>
        <v>66246.242659279771</v>
      </c>
      <c r="AE25" s="247">
        <f t="shared" si="16"/>
        <v>52996.994127423823</v>
      </c>
      <c r="AF25" s="226"/>
      <c r="AG25" s="247">
        <v>2878.2</v>
      </c>
      <c r="AH25" s="247">
        <v>2324.4</v>
      </c>
      <c r="AI25" s="247">
        <v>2360.0842105263155</v>
      </c>
      <c r="AJ25" s="226"/>
      <c r="AK25" s="247">
        <f t="shared" si="17"/>
        <v>2302.56</v>
      </c>
      <c r="AL25" s="247">
        <f t="shared" si="18"/>
        <v>1859.5200000000002</v>
      </c>
      <c r="AM25" s="247">
        <f t="shared" si="19"/>
        <v>1888.0673684210524</v>
      </c>
      <c r="AN25" s="225"/>
      <c r="AO25" s="225">
        <v>0</v>
      </c>
      <c r="AP25" s="225">
        <v>0</v>
      </c>
      <c r="AQ25" s="225">
        <v>71740.5</v>
      </c>
      <c r="AR25" s="225">
        <v>4095</v>
      </c>
      <c r="AS25" s="225">
        <v>1491.578947368421</v>
      </c>
      <c r="AT25" s="225">
        <v>0</v>
      </c>
      <c r="AU25" s="225">
        <v>2267.85</v>
      </c>
      <c r="AV25" s="225">
        <f t="shared" si="20"/>
        <v>79594.928947368433</v>
      </c>
      <c r="AX25" s="225">
        <f t="shared" si="21"/>
        <v>0</v>
      </c>
      <c r="AY25" s="225">
        <f t="shared" si="22"/>
        <v>0</v>
      </c>
      <c r="AZ25" s="225">
        <f t="shared" si="23"/>
        <v>2207.3999999999942</v>
      </c>
      <c r="BA25" s="225">
        <f t="shared" si="24"/>
        <v>-390</v>
      </c>
      <c r="BB25" s="225">
        <f t="shared" si="25"/>
        <v>820.36842105263156</v>
      </c>
      <c r="BC25" s="225">
        <f t="shared" si="26"/>
        <v>0</v>
      </c>
      <c r="BD25" s="225">
        <f t="shared" si="27"/>
        <v>-610.34999999999991</v>
      </c>
      <c r="BE25" s="225">
        <f t="shared" si="28"/>
        <v>2027.4184210526259</v>
      </c>
      <c r="BF25" s="225">
        <f t="shared" si="29"/>
        <v>0</v>
      </c>
      <c r="BG25" s="225">
        <f t="shared" si="2"/>
        <v>0</v>
      </c>
      <c r="BH25" s="225">
        <f t="shared" si="3"/>
        <v>0</v>
      </c>
      <c r="BI25" s="225">
        <f t="shared" si="4"/>
        <v>16114.01999999999</v>
      </c>
      <c r="BJ25" s="225">
        <f t="shared" si="5"/>
        <v>507</v>
      </c>
      <c r="BK25" s="225">
        <f t="shared" si="6"/>
        <v>954.61052631578946</v>
      </c>
      <c r="BL25" s="225">
        <f t="shared" si="7"/>
        <v>0</v>
      </c>
      <c r="BM25" s="225">
        <f t="shared" si="8"/>
        <v>-34.710000000000036</v>
      </c>
      <c r="BN25" s="225">
        <f t="shared" si="30"/>
        <v>17540.920526315778</v>
      </c>
      <c r="BO25" s="225">
        <f t="shared" si="9"/>
        <v>0</v>
      </c>
      <c r="BP25" s="225"/>
      <c r="BQ25" s="225"/>
      <c r="BR25" s="225"/>
      <c r="BS25" s="225"/>
      <c r="BT25" s="225"/>
      <c r="BU25" s="225"/>
      <c r="BV25" s="225"/>
      <c r="BW25" s="225"/>
      <c r="BY25" s="176"/>
      <c r="BZ25" s="176"/>
      <c r="CA25" s="176"/>
      <c r="CB25" s="176"/>
      <c r="CC25" s="176"/>
      <c r="CD25" s="176"/>
      <c r="CE25" s="176"/>
      <c r="CF25" s="176"/>
      <c r="CH25" s="248"/>
      <c r="CI25" s="248"/>
      <c r="CJ25" s="248"/>
      <c r="CK25" s="248"/>
      <c r="CL25" s="248"/>
      <c r="CM25" s="248"/>
      <c r="CN25" s="248"/>
      <c r="CO25" s="248"/>
      <c r="CQ25" s="248"/>
      <c r="CR25" s="248"/>
      <c r="CS25" s="248"/>
      <c r="CT25" s="248"/>
      <c r="CU25" s="248"/>
      <c r="CV25" s="248"/>
      <c r="CW25" s="248"/>
      <c r="CX25" s="248"/>
      <c r="CY25" s="248"/>
      <c r="DA25" s="248"/>
      <c r="DB25" s="248"/>
      <c r="DC25" s="248"/>
      <c r="DD25" s="248"/>
      <c r="DE25" s="248"/>
      <c r="DF25" s="248"/>
      <c r="DG25" s="248"/>
      <c r="DH25" s="248"/>
      <c r="DJ25" s="179" t="e">
        <f>#REF!+((SUMIFS($F25:$AM25,$F$3:$AM$3,$DJ$7)*80%))+SUMIFS(#REF!,#REF!,$DJ$7)</f>
        <v>#REF!</v>
      </c>
      <c r="DK25" s="179">
        <f t="shared" si="10"/>
        <v>0</v>
      </c>
      <c r="DL25" s="173" t="e">
        <f t="shared" si="31"/>
        <v>#REF!</v>
      </c>
    </row>
    <row r="26" spans="1:116">
      <c r="A26" s="168">
        <v>2211</v>
      </c>
      <c r="B26" s="2">
        <v>150054</v>
      </c>
      <c r="C26" s="2" t="s">
        <v>230</v>
      </c>
      <c r="D26" s="30"/>
      <c r="E26" s="226"/>
      <c r="F26" s="176">
        <v>0</v>
      </c>
      <c r="G26" s="176">
        <v>0</v>
      </c>
      <c r="H26" s="176">
        <v>55185</v>
      </c>
      <c r="I26" s="176">
        <v>4290</v>
      </c>
      <c r="J26" s="176">
        <v>298.31578947368422</v>
      </c>
      <c r="K26" s="176">
        <v>0</v>
      </c>
      <c r="L26" s="30">
        <f t="shared" si="11"/>
        <v>59773.315789473687</v>
      </c>
      <c r="M26" s="176">
        <f t="shared" si="12"/>
        <v>47818.652631578952</v>
      </c>
      <c r="N26" s="226"/>
      <c r="O26" s="176">
        <v>0</v>
      </c>
      <c r="P26" s="176">
        <v>0</v>
      </c>
      <c r="Q26" s="176">
        <v>40836.9</v>
      </c>
      <c r="R26" s="176">
        <v>2535</v>
      </c>
      <c r="S26" s="176">
        <v>969.52631578947376</v>
      </c>
      <c r="T26" s="176">
        <v>0</v>
      </c>
      <c r="U26" s="176">
        <f t="shared" si="13"/>
        <v>44341.426315789475</v>
      </c>
      <c r="V26" s="176">
        <f t="shared" si="14"/>
        <v>35473.141052631581</v>
      </c>
      <c r="W26" s="226"/>
      <c r="X26" s="247"/>
      <c r="Y26" s="176">
        <v>0</v>
      </c>
      <c r="Z26" s="176">
        <v>40215.789473684214</v>
      </c>
      <c r="AA26" s="176">
        <v>2898.9473684210525</v>
      </c>
      <c r="AB26" s="176">
        <v>717.40720221606648</v>
      </c>
      <c r="AC26" s="176">
        <v>0</v>
      </c>
      <c r="AD26" s="176">
        <f t="shared" si="15"/>
        <v>43832.144044321336</v>
      </c>
      <c r="AE26" s="247">
        <f t="shared" si="16"/>
        <v>35065.715235457072</v>
      </c>
      <c r="AF26" s="226"/>
      <c r="AG26" s="247">
        <v>1955.85</v>
      </c>
      <c r="AH26" s="247">
        <v>1111.5</v>
      </c>
      <c r="AI26" s="247">
        <v>1393.7684210526318</v>
      </c>
      <c r="AJ26" s="226"/>
      <c r="AK26" s="247">
        <f t="shared" si="17"/>
        <v>1564.68</v>
      </c>
      <c r="AL26" s="247">
        <f t="shared" si="18"/>
        <v>889.2</v>
      </c>
      <c r="AM26" s="247">
        <f t="shared" si="19"/>
        <v>1115.0147368421055</v>
      </c>
      <c r="AN26" s="225"/>
      <c r="AO26" s="225">
        <v>0</v>
      </c>
      <c r="AP26" s="225">
        <v>0</v>
      </c>
      <c r="AQ26" s="225">
        <v>80570.099999999991</v>
      </c>
      <c r="AR26" s="225">
        <v>5070</v>
      </c>
      <c r="AS26" s="225">
        <v>1939.0526315789475</v>
      </c>
      <c r="AT26" s="225">
        <v>0</v>
      </c>
      <c r="AU26" s="225">
        <v>2482.35</v>
      </c>
      <c r="AV26" s="225">
        <f t="shared" si="20"/>
        <v>90061.502631578944</v>
      </c>
      <c r="AX26" s="225">
        <f t="shared" si="21"/>
        <v>0</v>
      </c>
      <c r="AY26" s="225">
        <f t="shared" si="22"/>
        <v>0</v>
      </c>
      <c r="AZ26" s="225">
        <f t="shared" si="23"/>
        <v>25385.099999999991</v>
      </c>
      <c r="BA26" s="225">
        <f t="shared" si="24"/>
        <v>780</v>
      </c>
      <c r="BB26" s="225">
        <f t="shared" si="25"/>
        <v>1640.7368421052633</v>
      </c>
      <c r="BC26" s="225">
        <f t="shared" si="26"/>
        <v>0</v>
      </c>
      <c r="BD26" s="225">
        <f t="shared" si="27"/>
        <v>526.5</v>
      </c>
      <c r="BE26" s="225">
        <f t="shared" si="28"/>
        <v>28332.336842105255</v>
      </c>
      <c r="BF26" s="225">
        <f t="shared" si="29"/>
        <v>0</v>
      </c>
      <c r="BG26" s="225">
        <f t="shared" si="2"/>
        <v>0</v>
      </c>
      <c r="BH26" s="225">
        <f t="shared" si="3"/>
        <v>0</v>
      </c>
      <c r="BI26" s="225">
        <f t="shared" si="4"/>
        <v>36422.099999999991</v>
      </c>
      <c r="BJ26" s="225">
        <f t="shared" si="5"/>
        <v>1638</v>
      </c>
      <c r="BK26" s="225">
        <f t="shared" si="6"/>
        <v>1700.4</v>
      </c>
      <c r="BL26" s="225">
        <f t="shared" si="7"/>
        <v>0</v>
      </c>
      <c r="BM26" s="225">
        <f t="shared" si="8"/>
        <v>917.66999999999985</v>
      </c>
      <c r="BN26" s="225">
        <f t="shared" si="30"/>
        <v>40678.169999999991</v>
      </c>
      <c r="BO26" s="225">
        <f t="shared" si="9"/>
        <v>0</v>
      </c>
      <c r="BP26" s="225"/>
      <c r="BQ26" s="225"/>
      <c r="BR26" s="225"/>
      <c r="BS26" s="225"/>
      <c r="BT26" s="225"/>
      <c r="BU26" s="225"/>
      <c r="BV26" s="225"/>
      <c r="BW26" s="225"/>
      <c r="BY26" s="176"/>
      <c r="BZ26" s="176"/>
      <c r="CA26" s="176"/>
      <c r="CB26" s="176"/>
      <c r="CC26" s="176"/>
      <c r="CD26" s="176"/>
      <c r="CE26" s="176"/>
      <c r="CF26" s="176"/>
      <c r="CH26" s="248"/>
      <c r="CI26" s="248"/>
      <c r="CJ26" s="248"/>
      <c r="CK26" s="248"/>
      <c r="CL26" s="248"/>
      <c r="CM26" s="248"/>
      <c r="CN26" s="248"/>
      <c r="CO26" s="248"/>
      <c r="CQ26" s="248"/>
      <c r="CR26" s="248"/>
      <c r="CS26" s="248"/>
      <c r="CT26" s="248"/>
      <c r="CU26" s="248"/>
      <c r="CV26" s="248"/>
      <c r="CW26" s="248"/>
      <c r="CX26" s="248"/>
      <c r="CY26" s="248"/>
      <c r="DA26" s="248"/>
      <c r="DB26" s="248"/>
      <c r="DC26" s="248"/>
      <c r="DD26" s="248"/>
      <c r="DE26" s="248"/>
      <c r="DF26" s="248"/>
      <c r="DG26" s="248"/>
      <c r="DH26" s="248"/>
      <c r="DJ26" s="179" t="e">
        <f>#REF!+((SUMIFS($F26:$AM26,$F$3:$AM$3,$DJ$7)*80%))+SUMIFS(#REF!,#REF!,$DJ$7)</f>
        <v>#REF!</v>
      </c>
      <c r="DK26" s="179">
        <f t="shared" si="10"/>
        <v>0</v>
      </c>
      <c r="DL26" s="173" t="e">
        <f t="shared" si="31"/>
        <v>#REF!</v>
      </c>
    </row>
    <row r="27" spans="1:116">
      <c r="A27" s="168">
        <v>2186</v>
      </c>
      <c r="B27" s="2">
        <v>146075</v>
      </c>
      <c r="C27" s="2" t="s">
        <v>231</v>
      </c>
      <c r="D27" s="30"/>
      <c r="E27" s="226"/>
      <c r="F27" s="176">
        <v>0</v>
      </c>
      <c r="G27" s="176">
        <v>0</v>
      </c>
      <c r="H27" s="176">
        <v>67325.7</v>
      </c>
      <c r="I27" s="176">
        <v>390</v>
      </c>
      <c r="J27" s="176">
        <v>74.578947368421055</v>
      </c>
      <c r="K27" s="176">
        <v>0</v>
      </c>
      <c r="L27" s="30">
        <f t="shared" si="11"/>
        <v>67790.278947368424</v>
      </c>
      <c r="M27" s="176">
        <f t="shared" si="12"/>
        <v>54232.223157894739</v>
      </c>
      <c r="N27" s="226"/>
      <c r="O27" s="176">
        <v>0</v>
      </c>
      <c r="P27" s="176">
        <v>0</v>
      </c>
      <c r="Q27" s="176">
        <v>46355.4</v>
      </c>
      <c r="R27" s="176">
        <v>2535</v>
      </c>
      <c r="S27" s="176">
        <v>596.63157894736844</v>
      </c>
      <c r="T27" s="176">
        <v>0</v>
      </c>
      <c r="U27" s="176">
        <f t="shared" si="13"/>
        <v>49487.031578947368</v>
      </c>
      <c r="V27" s="176">
        <f t="shared" si="14"/>
        <v>39589.625263157897</v>
      </c>
      <c r="W27" s="226"/>
      <c r="X27" s="247"/>
      <c r="Y27" s="176">
        <v>0</v>
      </c>
      <c r="Z27" s="176">
        <v>49545.85263157895</v>
      </c>
      <c r="AA27" s="176">
        <v>852.63157894736844</v>
      </c>
      <c r="AB27" s="176">
        <v>195.65650969529085</v>
      </c>
      <c r="AC27" s="176">
        <v>0</v>
      </c>
      <c r="AD27" s="176">
        <f t="shared" si="15"/>
        <v>50594.140720221607</v>
      </c>
      <c r="AE27" s="247">
        <f t="shared" si="16"/>
        <v>40475.31257617729</v>
      </c>
      <c r="AF27" s="226"/>
      <c r="AG27" s="247">
        <v>951.59999999999991</v>
      </c>
      <c r="AH27" s="247">
        <v>748.8</v>
      </c>
      <c r="AI27" s="247">
        <v>712.8</v>
      </c>
      <c r="AJ27" s="226"/>
      <c r="AK27" s="247">
        <f t="shared" si="17"/>
        <v>761.28</v>
      </c>
      <c r="AL27" s="247">
        <f t="shared" si="18"/>
        <v>599.04</v>
      </c>
      <c r="AM27" s="247">
        <f t="shared" si="19"/>
        <v>570.24</v>
      </c>
      <c r="AN27" s="225"/>
      <c r="AO27" s="225">
        <v>0</v>
      </c>
      <c r="AP27" s="225">
        <v>0</v>
      </c>
      <c r="AQ27" s="225">
        <v>75051.600000000006</v>
      </c>
      <c r="AR27" s="225">
        <v>4875</v>
      </c>
      <c r="AS27" s="225">
        <v>1789.8947368421054</v>
      </c>
      <c r="AT27" s="225">
        <v>0</v>
      </c>
      <c r="AU27" s="225">
        <v>1105.6500000000001</v>
      </c>
      <c r="AV27" s="225">
        <f t="shared" si="20"/>
        <v>82822.144736842107</v>
      </c>
      <c r="AX27" s="225">
        <f t="shared" si="21"/>
        <v>0</v>
      </c>
      <c r="AY27" s="225">
        <f t="shared" si="22"/>
        <v>0</v>
      </c>
      <c r="AZ27" s="225">
        <f t="shared" si="23"/>
        <v>7725.9000000000087</v>
      </c>
      <c r="BA27" s="225">
        <f t="shared" si="24"/>
        <v>4485</v>
      </c>
      <c r="BB27" s="225">
        <f t="shared" si="25"/>
        <v>1715.3157894736844</v>
      </c>
      <c r="BC27" s="225">
        <f t="shared" si="26"/>
        <v>0</v>
      </c>
      <c r="BD27" s="225">
        <f t="shared" si="27"/>
        <v>154.05000000000018</v>
      </c>
      <c r="BE27" s="225">
        <f t="shared" si="28"/>
        <v>14080.265789473695</v>
      </c>
      <c r="BF27" s="225">
        <f t="shared" si="29"/>
        <v>0</v>
      </c>
      <c r="BG27" s="225">
        <f t="shared" si="2"/>
        <v>0</v>
      </c>
      <c r="BH27" s="225">
        <f t="shared" si="3"/>
        <v>0</v>
      </c>
      <c r="BI27" s="225">
        <f t="shared" si="4"/>
        <v>21191.040000000008</v>
      </c>
      <c r="BJ27" s="225">
        <f t="shared" si="5"/>
        <v>4563</v>
      </c>
      <c r="BK27" s="225">
        <f t="shared" si="6"/>
        <v>1730.2315789473687</v>
      </c>
      <c r="BL27" s="225">
        <f t="shared" si="7"/>
        <v>0</v>
      </c>
      <c r="BM27" s="225">
        <f t="shared" si="8"/>
        <v>344.37000000000012</v>
      </c>
      <c r="BN27" s="225">
        <f t="shared" si="30"/>
        <v>27828.641578947376</v>
      </c>
      <c r="BO27" s="225">
        <f t="shared" si="9"/>
        <v>0</v>
      </c>
      <c r="BP27" s="225"/>
      <c r="BQ27" s="225"/>
      <c r="BR27" s="225"/>
      <c r="BS27" s="225"/>
      <c r="BT27" s="225"/>
      <c r="BU27" s="225"/>
      <c r="BV27" s="225"/>
      <c r="BW27" s="225"/>
      <c r="BY27" s="176"/>
      <c r="BZ27" s="176"/>
      <c r="CA27" s="176"/>
      <c r="CB27" s="176"/>
      <c r="CC27" s="176"/>
      <c r="CD27" s="176"/>
      <c r="CE27" s="176"/>
      <c r="CF27" s="176"/>
      <c r="CH27" s="248"/>
      <c r="CI27" s="248"/>
      <c r="CJ27" s="248"/>
      <c r="CK27" s="248"/>
      <c r="CL27" s="248"/>
      <c r="CM27" s="248"/>
      <c r="CN27" s="248"/>
      <c r="CO27" s="248"/>
      <c r="CQ27" s="248"/>
      <c r="CR27" s="248"/>
      <c r="CS27" s="248"/>
      <c r="CT27" s="248"/>
      <c r="CU27" s="248"/>
      <c r="CV27" s="248"/>
      <c r="CW27" s="248"/>
      <c r="CX27" s="248"/>
      <c r="CY27" s="248"/>
      <c r="DA27" s="248"/>
      <c r="DB27" s="248"/>
      <c r="DC27" s="248"/>
      <c r="DD27" s="248"/>
      <c r="DE27" s="248"/>
      <c r="DF27" s="248"/>
      <c r="DG27" s="248"/>
      <c r="DH27" s="248"/>
      <c r="DJ27" s="179" t="e">
        <f>#REF!+((SUMIFS($F27:$AM27,$F$3:$AM$3,$DJ$7)*80%))+SUMIFS(#REF!,#REF!,$DJ$7)</f>
        <v>#REF!</v>
      </c>
      <c r="DK27" s="179">
        <f t="shared" si="10"/>
        <v>0</v>
      </c>
      <c r="DL27" s="173" t="e">
        <f t="shared" si="31"/>
        <v>#REF!</v>
      </c>
    </row>
    <row r="28" spans="1:116">
      <c r="A28" s="168">
        <v>4660</v>
      </c>
      <c r="B28" s="2">
        <v>137988</v>
      </c>
      <c r="C28" s="2" t="s">
        <v>232</v>
      </c>
      <c r="D28" s="30"/>
      <c r="E28" s="226"/>
      <c r="F28" s="176">
        <v>0</v>
      </c>
      <c r="G28" s="176">
        <v>0</v>
      </c>
      <c r="H28" s="176">
        <v>0</v>
      </c>
      <c r="I28" s="176">
        <v>0</v>
      </c>
      <c r="J28" s="176">
        <v>0</v>
      </c>
      <c r="K28" s="176">
        <v>0</v>
      </c>
      <c r="L28" s="30">
        <f t="shared" si="11"/>
        <v>0</v>
      </c>
      <c r="M28" s="176">
        <f t="shared" si="12"/>
        <v>0</v>
      </c>
      <c r="N28" s="226"/>
      <c r="O28" s="176">
        <v>0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6">
        <f t="shared" si="13"/>
        <v>0</v>
      </c>
      <c r="V28" s="176">
        <f t="shared" si="14"/>
        <v>0</v>
      </c>
      <c r="W28" s="226"/>
      <c r="X28" s="247"/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f t="shared" si="15"/>
        <v>0</v>
      </c>
      <c r="AE28" s="247">
        <f t="shared" si="16"/>
        <v>0</v>
      </c>
      <c r="AF28" s="226"/>
      <c r="AG28" s="247">
        <v>0</v>
      </c>
      <c r="AH28" s="247">
        <v>0</v>
      </c>
      <c r="AI28" s="247">
        <v>0</v>
      </c>
      <c r="AJ28" s="226"/>
      <c r="AK28" s="247">
        <f t="shared" si="17"/>
        <v>0</v>
      </c>
      <c r="AL28" s="247">
        <f t="shared" si="18"/>
        <v>0</v>
      </c>
      <c r="AM28" s="247">
        <f t="shared" si="19"/>
        <v>0</v>
      </c>
      <c r="AN28" s="225"/>
      <c r="AO28" s="225">
        <v>0</v>
      </c>
      <c r="AP28" s="225">
        <v>0</v>
      </c>
      <c r="AQ28" s="225">
        <v>0</v>
      </c>
      <c r="AR28" s="225">
        <v>0</v>
      </c>
      <c r="AS28" s="225">
        <v>0</v>
      </c>
      <c r="AT28" s="225">
        <v>0</v>
      </c>
      <c r="AU28" s="225">
        <v>0</v>
      </c>
      <c r="AV28" s="225">
        <f t="shared" si="20"/>
        <v>0</v>
      </c>
      <c r="AX28" s="225">
        <f t="shared" si="21"/>
        <v>0</v>
      </c>
      <c r="AY28" s="225">
        <f t="shared" si="22"/>
        <v>0</v>
      </c>
      <c r="AZ28" s="225">
        <f t="shared" si="23"/>
        <v>0</v>
      </c>
      <c r="BA28" s="225">
        <f t="shared" si="24"/>
        <v>0</v>
      </c>
      <c r="BB28" s="225">
        <f t="shared" si="25"/>
        <v>0</v>
      </c>
      <c r="BC28" s="225">
        <f t="shared" si="26"/>
        <v>0</v>
      </c>
      <c r="BD28" s="225">
        <f t="shared" si="27"/>
        <v>0</v>
      </c>
      <c r="BE28" s="225">
        <f t="shared" si="28"/>
        <v>0</v>
      </c>
      <c r="BF28" s="225">
        <f t="shared" si="29"/>
        <v>0</v>
      </c>
      <c r="BG28" s="225">
        <f t="shared" si="2"/>
        <v>0</v>
      </c>
      <c r="BH28" s="225">
        <f t="shared" si="3"/>
        <v>0</v>
      </c>
      <c r="BI28" s="225">
        <f t="shared" si="4"/>
        <v>0</v>
      </c>
      <c r="BJ28" s="225">
        <f t="shared" si="5"/>
        <v>0</v>
      </c>
      <c r="BK28" s="225">
        <f t="shared" si="6"/>
        <v>0</v>
      </c>
      <c r="BL28" s="225">
        <f t="shared" si="7"/>
        <v>0</v>
      </c>
      <c r="BM28" s="225">
        <f t="shared" si="8"/>
        <v>0</v>
      </c>
      <c r="BN28" s="225">
        <f t="shared" si="30"/>
        <v>0</v>
      </c>
      <c r="BO28" s="225">
        <f t="shared" si="9"/>
        <v>0</v>
      </c>
      <c r="BP28" s="225"/>
      <c r="BQ28" s="225"/>
      <c r="BR28" s="225"/>
      <c r="BS28" s="225"/>
      <c r="BT28" s="225"/>
      <c r="BU28" s="225"/>
      <c r="BV28" s="225"/>
      <c r="BW28" s="225"/>
      <c r="BY28" s="176"/>
      <c r="BZ28" s="176"/>
      <c r="CA28" s="176"/>
      <c r="CB28" s="176"/>
      <c r="CC28" s="176"/>
      <c r="CD28" s="176"/>
      <c r="CE28" s="176"/>
      <c r="CF28" s="176"/>
      <c r="CH28" s="248"/>
      <c r="CI28" s="248"/>
      <c r="CJ28" s="248"/>
      <c r="CK28" s="248"/>
      <c r="CL28" s="248"/>
      <c r="CM28" s="248"/>
      <c r="CN28" s="248"/>
      <c r="CO28" s="248"/>
      <c r="CQ28" s="248"/>
      <c r="CR28" s="248"/>
      <c r="CS28" s="248"/>
      <c r="CT28" s="248"/>
      <c r="CU28" s="248"/>
      <c r="CV28" s="248"/>
      <c r="CW28" s="248"/>
      <c r="CX28" s="248"/>
      <c r="CY28" s="248"/>
      <c r="DA28" s="248"/>
      <c r="DB28" s="248"/>
      <c r="DC28" s="248"/>
      <c r="DD28" s="248"/>
      <c r="DE28" s="248"/>
      <c r="DF28" s="248"/>
      <c r="DG28" s="248"/>
      <c r="DH28" s="248"/>
      <c r="DJ28" s="179" t="e">
        <f>#REF!+((SUMIFS($F28:$AM28,$F$3:$AM$3,$DJ$7)*80%))+SUMIFS(#REF!,#REF!,$DJ$7)</f>
        <v>#REF!</v>
      </c>
      <c r="DK28" s="179">
        <f t="shared" si="10"/>
        <v>0</v>
      </c>
      <c r="DL28" s="173" t="e">
        <f t="shared" si="31"/>
        <v>#REF!</v>
      </c>
    </row>
    <row r="29" spans="1:116">
      <c r="A29" s="168">
        <v>4661</v>
      </c>
      <c r="B29" s="2">
        <v>140524</v>
      </c>
      <c r="C29" s="2" t="s">
        <v>233</v>
      </c>
      <c r="D29" s="30"/>
      <c r="E29" s="226"/>
      <c r="F29" s="176">
        <v>0</v>
      </c>
      <c r="G29" s="176">
        <v>0</v>
      </c>
      <c r="H29" s="176">
        <v>0</v>
      </c>
      <c r="I29" s="176">
        <v>0</v>
      </c>
      <c r="J29" s="176">
        <v>0</v>
      </c>
      <c r="K29" s="176">
        <v>0</v>
      </c>
      <c r="L29" s="30">
        <f t="shared" si="11"/>
        <v>0</v>
      </c>
      <c r="M29" s="176">
        <f t="shared" si="12"/>
        <v>0</v>
      </c>
      <c r="N29" s="226"/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6">
        <f t="shared" si="13"/>
        <v>0</v>
      </c>
      <c r="V29" s="176">
        <f t="shared" si="14"/>
        <v>0</v>
      </c>
      <c r="W29" s="226"/>
      <c r="X29" s="247"/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f t="shared" si="15"/>
        <v>0</v>
      </c>
      <c r="AE29" s="247">
        <f t="shared" si="16"/>
        <v>0</v>
      </c>
      <c r="AF29" s="226"/>
      <c r="AG29" s="247">
        <v>0</v>
      </c>
      <c r="AH29" s="247">
        <v>0</v>
      </c>
      <c r="AI29" s="247">
        <v>0</v>
      </c>
      <c r="AJ29" s="226"/>
      <c r="AK29" s="247">
        <f t="shared" si="17"/>
        <v>0</v>
      </c>
      <c r="AL29" s="247">
        <f t="shared" si="18"/>
        <v>0</v>
      </c>
      <c r="AM29" s="247">
        <f t="shared" si="19"/>
        <v>0</v>
      </c>
      <c r="AN29" s="225"/>
      <c r="AO29" s="225">
        <v>0</v>
      </c>
      <c r="AP29" s="225">
        <v>0</v>
      </c>
      <c r="AQ29" s="225">
        <v>0</v>
      </c>
      <c r="AR29" s="225">
        <v>0</v>
      </c>
      <c r="AS29" s="225">
        <v>0</v>
      </c>
      <c r="AT29" s="225">
        <v>0</v>
      </c>
      <c r="AU29" s="225">
        <v>0</v>
      </c>
      <c r="AV29" s="225">
        <f t="shared" si="20"/>
        <v>0</v>
      </c>
      <c r="AX29" s="225">
        <f t="shared" si="21"/>
        <v>0</v>
      </c>
      <c r="AY29" s="225">
        <f t="shared" si="22"/>
        <v>0</v>
      </c>
      <c r="AZ29" s="225">
        <f t="shared" si="23"/>
        <v>0</v>
      </c>
      <c r="BA29" s="225">
        <f t="shared" si="24"/>
        <v>0</v>
      </c>
      <c r="BB29" s="225">
        <f t="shared" si="25"/>
        <v>0</v>
      </c>
      <c r="BC29" s="225">
        <f t="shared" si="26"/>
        <v>0</v>
      </c>
      <c r="BD29" s="225">
        <f t="shared" si="27"/>
        <v>0</v>
      </c>
      <c r="BE29" s="225">
        <f t="shared" si="28"/>
        <v>0</v>
      </c>
      <c r="BF29" s="225">
        <f t="shared" si="29"/>
        <v>0</v>
      </c>
      <c r="BG29" s="225">
        <f t="shared" si="2"/>
        <v>0</v>
      </c>
      <c r="BH29" s="225">
        <f t="shared" si="3"/>
        <v>0</v>
      </c>
      <c r="BI29" s="225">
        <f t="shared" si="4"/>
        <v>0</v>
      </c>
      <c r="BJ29" s="225">
        <f t="shared" si="5"/>
        <v>0</v>
      </c>
      <c r="BK29" s="225">
        <f t="shared" si="6"/>
        <v>0</v>
      </c>
      <c r="BL29" s="225">
        <f t="shared" si="7"/>
        <v>0</v>
      </c>
      <c r="BM29" s="225">
        <f t="shared" si="8"/>
        <v>0</v>
      </c>
      <c r="BN29" s="225">
        <f t="shared" si="30"/>
        <v>0</v>
      </c>
      <c r="BO29" s="225">
        <f t="shared" si="9"/>
        <v>0</v>
      </c>
      <c r="BP29" s="225"/>
      <c r="BQ29" s="225"/>
      <c r="BR29" s="225"/>
      <c r="BS29" s="225"/>
      <c r="BT29" s="225"/>
      <c r="BU29" s="225"/>
      <c r="BV29" s="225"/>
      <c r="BW29" s="225"/>
      <c r="BY29" s="176"/>
      <c r="BZ29" s="176"/>
      <c r="CA29" s="176"/>
      <c r="CB29" s="176"/>
      <c r="CC29" s="176"/>
      <c r="CD29" s="176"/>
      <c r="CE29" s="176"/>
      <c r="CF29" s="176"/>
      <c r="CH29" s="248"/>
      <c r="CI29" s="248"/>
      <c r="CJ29" s="248"/>
      <c r="CK29" s="248"/>
      <c r="CL29" s="248"/>
      <c r="CM29" s="248"/>
      <c r="CN29" s="248"/>
      <c r="CO29" s="248"/>
      <c r="CQ29" s="248"/>
      <c r="CR29" s="248"/>
      <c r="CS29" s="248"/>
      <c r="CT29" s="248"/>
      <c r="CU29" s="248"/>
      <c r="CV29" s="248"/>
      <c r="CW29" s="248"/>
      <c r="CX29" s="248"/>
      <c r="CY29" s="248"/>
      <c r="DA29" s="248"/>
      <c r="DB29" s="248"/>
      <c r="DC29" s="248"/>
      <c r="DD29" s="248"/>
      <c r="DE29" s="248"/>
      <c r="DF29" s="248"/>
      <c r="DG29" s="248"/>
      <c r="DH29" s="248"/>
      <c r="DJ29" s="179" t="e">
        <f>#REF!+((SUMIFS($F29:$AM29,$F$3:$AM$3,$DJ$7)*80%))+SUMIFS(#REF!,#REF!,$DJ$7)</f>
        <v>#REF!</v>
      </c>
      <c r="DK29" s="179">
        <f t="shared" si="10"/>
        <v>0</v>
      </c>
      <c r="DL29" s="173" t="e">
        <f t="shared" si="31"/>
        <v>#REF!</v>
      </c>
    </row>
    <row r="30" spans="1:116">
      <c r="A30" s="168">
        <v>4000</v>
      </c>
      <c r="B30" s="2">
        <v>136944</v>
      </c>
      <c r="C30" s="2" t="s">
        <v>234</v>
      </c>
      <c r="D30" s="30"/>
      <c r="E30" s="226"/>
      <c r="F30" s="176">
        <v>0</v>
      </c>
      <c r="G30" s="176">
        <v>0</v>
      </c>
      <c r="H30" s="176">
        <v>0</v>
      </c>
      <c r="I30" s="176">
        <v>0</v>
      </c>
      <c r="J30" s="176">
        <v>0</v>
      </c>
      <c r="K30" s="176">
        <v>0</v>
      </c>
      <c r="L30" s="30">
        <f t="shared" si="11"/>
        <v>0</v>
      </c>
      <c r="M30" s="176">
        <f t="shared" si="12"/>
        <v>0</v>
      </c>
      <c r="N30" s="226"/>
      <c r="O30" s="176">
        <v>0</v>
      </c>
      <c r="P30" s="176">
        <v>0</v>
      </c>
      <c r="Q30" s="176">
        <v>0</v>
      </c>
      <c r="R30" s="176">
        <v>0</v>
      </c>
      <c r="S30" s="176">
        <v>0</v>
      </c>
      <c r="T30" s="176">
        <v>0</v>
      </c>
      <c r="U30" s="176">
        <f t="shared" si="13"/>
        <v>0</v>
      </c>
      <c r="V30" s="176">
        <f t="shared" si="14"/>
        <v>0</v>
      </c>
      <c r="W30" s="226"/>
      <c r="X30" s="247"/>
      <c r="Y30" s="176">
        <v>0</v>
      </c>
      <c r="Z30" s="176">
        <v>0</v>
      </c>
      <c r="AA30" s="176">
        <v>0</v>
      </c>
      <c r="AB30" s="176">
        <v>0</v>
      </c>
      <c r="AC30" s="176">
        <v>0</v>
      </c>
      <c r="AD30" s="176">
        <f t="shared" si="15"/>
        <v>0</v>
      </c>
      <c r="AE30" s="247">
        <f t="shared" si="16"/>
        <v>0</v>
      </c>
      <c r="AF30" s="226"/>
      <c r="AG30" s="247">
        <v>0</v>
      </c>
      <c r="AH30" s="247">
        <v>0</v>
      </c>
      <c r="AI30" s="247">
        <v>0</v>
      </c>
      <c r="AJ30" s="226"/>
      <c r="AK30" s="247">
        <f t="shared" si="17"/>
        <v>0</v>
      </c>
      <c r="AL30" s="247">
        <f t="shared" si="18"/>
        <v>0</v>
      </c>
      <c r="AM30" s="247">
        <f t="shared" si="19"/>
        <v>0</v>
      </c>
      <c r="AN30" s="225"/>
      <c r="AO30" s="225">
        <v>0</v>
      </c>
      <c r="AP30" s="225">
        <v>0</v>
      </c>
      <c r="AQ30" s="225">
        <v>0</v>
      </c>
      <c r="AR30" s="225">
        <v>0</v>
      </c>
      <c r="AS30" s="225">
        <v>0</v>
      </c>
      <c r="AT30" s="225">
        <v>0</v>
      </c>
      <c r="AU30" s="225">
        <v>0</v>
      </c>
      <c r="AV30" s="225">
        <f t="shared" si="20"/>
        <v>0</v>
      </c>
      <c r="AX30" s="225">
        <f t="shared" si="21"/>
        <v>0</v>
      </c>
      <c r="AY30" s="225">
        <f t="shared" si="22"/>
        <v>0</v>
      </c>
      <c r="AZ30" s="225">
        <f t="shared" si="23"/>
        <v>0</v>
      </c>
      <c r="BA30" s="225">
        <f t="shared" si="24"/>
        <v>0</v>
      </c>
      <c r="BB30" s="225">
        <f t="shared" si="25"/>
        <v>0</v>
      </c>
      <c r="BC30" s="225">
        <f t="shared" si="26"/>
        <v>0</v>
      </c>
      <c r="BD30" s="225">
        <f t="shared" si="27"/>
        <v>0</v>
      </c>
      <c r="BE30" s="225">
        <f t="shared" si="28"/>
        <v>0</v>
      </c>
      <c r="BF30" s="225">
        <f t="shared" si="29"/>
        <v>0</v>
      </c>
      <c r="BG30" s="225">
        <f t="shared" si="2"/>
        <v>0</v>
      </c>
      <c r="BH30" s="225">
        <f t="shared" si="3"/>
        <v>0</v>
      </c>
      <c r="BI30" s="225">
        <f t="shared" si="4"/>
        <v>0</v>
      </c>
      <c r="BJ30" s="225">
        <f t="shared" si="5"/>
        <v>0</v>
      </c>
      <c r="BK30" s="225">
        <f t="shared" si="6"/>
        <v>0</v>
      </c>
      <c r="BL30" s="225">
        <f t="shared" si="7"/>
        <v>0</v>
      </c>
      <c r="BM30" s="225">
        <f t="shared" si="8"/>
        <v>0</v>
      </c>
      <c r="BN30" s="225">
        <f t="shared" si="30"/>
        <v>0</v>
      </c>
      <c r="BO30" s="225">
        <f t="shared" si="9"/>
        <v>0</v>
      </c>
      <c r="BP30" s="225"/>
      <c r="BQ30" s="225"/>
      <c r="BR30" s="225"/>
      <c r="BS30" s="225"/>
      <c r="BT30" s="225"/>
      <c r="BU30" s="225"/>
      <c r="BV30" s="225"/>
      <c r="BW30" s="225"/>
      <c r="BY30" s="176"/>
      <c r="BZ30" s="176"/>
      <c r="CA30" s="176"/>
      <c r="CB30" s="176"/>
      <c r="CC30" s="176"/>
      <c r="CD30" s="176"/>
      <c r="CE30" s="176"/>
      <c r="CF30" s="176"/>
      <c r="CH30" s="248"/>
      <c r="CI30" s="248"/>
      <c r="CJ30" s="248"/>
      <c r="CK30" s="248"/>
      <c r="CL30" s="248"/>
      <c r="CM30" s="248"/>
      <c r="CN30" s="248"/>
      <c r="CO30" s="248"/>
      <c r="CQ30" s="248"/>
      <c r="CR30" s="248"/>
      <c r="CS30" s="248"/>
      <c r="CT30" s="248"/>
      <c r="CU30" s="248"/>
      <c r="CV30" s="248"/>
      <c r="CW30" s="248"/>
      <c r="CX30" s="248"/>
      <c r="CY30" s="248"/>
      <c r="DA30" s="248"/>
      <c r="DB30" s="248"/>
      <c r="DC30" s="248"/>
      <c r="DD30" s="248"/>
      <c r="DE30" s="248"/>
      <c r="DF30" s="248"/>
      <c r="DG30" s="248"/>
      <c r="DH30" s="248"/>
      <c r="DJ30" s="179" t="e">
        <f>#REF!+((SUMIFS($F30:$AM30,$F$3:$AM$3,$DJ$7)*80%))+SUMIFS(#REF!,#REF!,$DJ$7)</f>
        <v>#REF!</v>
      </c>
      <c r="DK30" s="179">
        <f t="shared" si="10"/>
        <v>0</v>
      </c>
      <c r="DL30" s="173" t="e">
        <f t="shared" si="31"/>
        <v>#REF!</v>
      </c>
    </row>
    <row r="31" spans="1:116">
      <c r="A31" s="168">
        <v>4044</v>
      </c>
      <c r="B31" s="2">
        <v>149042</v>
      </c>
      <c r="C31" s="2" t="s">
        <v>235</v>
      </c>
      <c r="D31" s="30"/>
      <c r="E31" s="226"/>
      <c r="F31" s="176">
        <v>0</v>
      </c>
      <c r="G31" s="176">
        <v>0</v>
      </c>
      <c r="H31" s="176">
        <v>0</v>
      </c>
      <c r="I31" s="176">
        <v>0</v>
      </c>
      <c r="J31" s="176">
        <v>0</v>
      </c>
      <c r="K31" s="176">
        <v>0</v>
      </c>
      <c r="L31" s="30">
        <f t="shared" si="11"/>
        <v>0</v>
      </c>
      <c r="M31" s="176">
        <f t="shared" si="12"/>
        <v>0</v>
      </c>
      <c r="N31" s="226"/>
      <c r="O31" s="176">
        <v>0</v>
      </c>
      <c r="P31" s="176">
        <v>0</v>
      </c>
      <c r="Q31" s="176">
        <v>0</v>
      </c>
      <c r="R31" s="176">
        <v>0</v>
      </c>
      <c r="S31" s="176">
        <v>0</v>
      </c>
      <c r="T31" s="176">
        <v>0</v>
      </c>
      <c r="U31" s="176">
        <f t="shared" si="13"/>
        <v>0</v>
      </c>
      <c r="V31" s="176">
        <f t="shared" si="14"/>
        <v>0</v>
      </c>
      <c r="W31" s="226"/>
      <c r="X31" s="247"/>
      <c r="Y31" s="176">
        <v>0</v>
      </c>
      <c r="Z31" s="176">
        <v>0</v>
      </c>
      <c r="AA31" s="176">
        <v>0</v>
      </c>
      <c r="AB31" s="176">
        <v>0</v>
      </c>
      <c r="AC31" s="176">
        <v>0</v>
      </c>
      <c r="AD31" s="176">
        <f t="shared" si="15"/>
        <v>0</v>
      </c>
      <c r="AE31" s="247">
        <f t="shared" si="16"/>
        <v>0</v>
      </c>
      <c r="AF31" s="226"/>
      <c r="AG31" s="247">
        <v>0</v>
      </c>
      <c r="AH31" s="247">
        <v>0</v>
      </c>
      <c r="AI31" s="247">
        <v>0</v>
      </c>
      <c r="AJ31" s="226"/>
      <c r="AK31" s="247">
        <f t="shared" si="17"/>
        <v>0</v>
      </c>
      <c r="AL31" s="247">
        <f t="shared" si="18"/>
        <v>0</v>
      </c>
      <c r="AM31" s="247">
        <f t="shared" si="19"/>
        <v>0</v>
      </c>
      <c r="AN31" s="225"/>
      <c r="AO31" s="225">
        <v>0</v>
      </c>
      <c r="AP31" s="225">
        <v>0</v>
      </c>
      <c r="AQ31" s="225">
        <v>0</v>
      </c>
      <c r="AR31" s="225">
        <v>0</v>
      </c>
      <c r="AS31" s="225">
        <v>0</v>
      </c>
      <c r="AT31" s="225">
        <v>0</v>
      </c>
      <c r="AU31" s="225">
        <v>0</v>
      </c>
      <c r="AV31" s="225">
        <f t="shared" si="20"/>
        <v>0</v>
      </c>
      <c r="AX31" s="225">
        <f t="shared" si="21"/>
        <v>0</v>
      </c>
      <c r="AY31" s="225">
        <f t="shared" si="22"/>
        <v>0</v>
      </c>
      <c r="AZ31" s="225">
        <f t="shared" si="23"/>
        <v>0</v>
      </c>
      <c r="BA31" s="225">
        <f t="shared" si="24"/>
        <v>0</v>
      </c>
      <c r="BB31" s="225">
        <f t="shared" si="25"/>
        <v>0</v>
      </c>
      <c r="BC31" s="225">
        <f t="shared" si="26"/>
        <v>0</v>
      </c>
      <c r="BD31" s="225">
        <f t="shared" si="27"/>
        <v>0</v>
      </c>
      <c r="BE31" s="225">
        <f t="shared" si="28"/>
        <v>0</v>
      </c>
      <c r="BF31" s="225">
        <f t="shared" si="29"/>
        <v>0</v>
      </c>
      <c r="BG31" s="225">
        <f t="shared" si="2"/>
        <v>0</v>
      </c>
      <c r="BH31" s="225">
        <f t="shared" si="3"/>
        <v>0</v>
      </c>
      <c r="BI31" s="225">
        <f t="shared" si="4"/>
        <v>0</v>
      </c>
      <c r="BJ31" s="225">
        <f t="shared" si="5"/>
        <v>0</v>
      </c>
      <c r="BK31" s="225">
        <f t="shared" si="6"/>
        <v>0</v>
      </c>
      <c r="BL31" s="225">
        <f t="shared" si="7"/>
        <v>0</v>
      </c>
      <c r="BM31" s="225">
        <f t="shared" si="8"/>
        <v>0</v>
      </c>
      <c r="BN31" s="225">
        <f t="shared" si="30"/>
        <v>0</v>
      </c>
      <c r="BO31" s="225">
        <f t="shared" si="9"/>
        <v>0</v>
      </c>
      <c r="BP31" s="225"/>
      <c r="BQ31" s="225"/>
      <c r="BR31" s="225"/>
      <c r="BS31" s="225"/>
      <c r="BT31" s="225"/>
      <c r="BU31" s="225"/>
      <c r="BV31" s="225"/>
      <c r="BW31" s="225"/>
      <c r="BY31" s="176"/>
      <c r="BZ31" s="176"/>
      <c r="CA31" s="176"/>
      <c r="CB31" s="176"/>
      <c r="CC31" s="176"/>
      <c r="CD31" s="176"/>
      <c r="CE31" s="176"/>
      <c r="CF31" s="176"/>
      <c r="CH31" s="248"/>
      <c r="CI31" s="248"/>
      <c r="CJ31" s="248"/>
      <c r="CK31" s="248"/>
      <c r="CL31" s="248"/>
      <c r="CM31" s="248"/>
      <c r="CN31" s="248"/>
      <c r="CO31" s="248"/>
      <c r="CQ31" s="248"/>
      <c r="CR31" s="248"/>
      <c r="CS31" s="248"/>
      <c r="CT31" s="248"/>
      <c r="CU31" s="248"/>
      <c r="CV31" s="248"/>
      <c r="CW31" s="248"/>
      <c r="CX31" s="248"/>
      <c r="CY31" s="248"/>
      <c r="DA31" s="248"/>
      <c r="DB31" s="248"/>
      <c r="DC31" s="248"/>
      <c r="DD31" s="248"/>
      <c r="DE31" s="248"/>
      <c r="DF31" s="248"/>
      <c r="DG31" s="248"/>
      <c r="DH31" s="248"/>
      <c r="DJ31" s="179" t="e">
        <f>#REF!+((SUMIFS($F31:$AM31,$F$3:$AM$3,$DJ$7)*80%))+SUMIFS(#REF!,#REF!,$DJ$7)</f>
        <v>#REF!</v>
      </c>
      <c r="DK31" s="179">
        <f t="shared" si="10"/>
        <v>0</v>
      </c>
      <c r="DL31" s="173" t="e">
        <f t="shared" si="31"/>
        <v>#REF!</v>
      </c>
    </row>
    <row r="32" spans="1:116">
      <c r="A32" s="168">
        <v>4043</v>
      </c>
      <c r="B32" s="2">
        <v>148635</v>
      </c>
      <c r="C32" s="2" t="s">
        <v>236</v>
      </c>
      <c r="D32" s="30"/>
      <c r="E32" s="226"/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30">
        <f t="shared" si="11"/>
        <v>0</v>
      </c>
      <c r="M32" s="176">
        <f t="shared" si="12"/>
        <v>0</v>
      </c>
      <c r="N32" s="226"/>
      <c r="O32" s="176">
        <v>0</v>
      </c>
      <c r="P32" s="176">
        <v>0</v>
      </c>
      <c r="Q32" s="176">
        <v>0</v>
      </c>
      <c r="R32" s="176">
        <v>0</v>
      </c>
      <c r="S32" s="176">
        <v>0</v>
      </c>
      <c r="T32" s="176">
        <v>0</v>
      </c>
      <c r="U32" s="176">
        <f t="shared" si="13"/>
        <v>0</v>
      </c>
      <c r="V32" s="176">
        <f t="shared" si="14"/>
        <v>0</v>
      </c>
      <c r="W32" s="226"/>
      <c r="X32" s="247"/>
      <c r="Y32" s="176">
        <v>0</v>
      </c>
      <c r="Z32" s="176">
        <v>0</v>
      </c>
      <c r="AA32" s="176">
        <v>0</v>
      </c>
      <c r="AB32" s="176">
        <v>0</v>
      </c>
      <c r="AC32" s="176">
        <v>0</v>
      </c>
      <c r="AD32" s="176">
        <f t="shared" si="15"/>
        <v>0</v>
      </c>
      <c r="AE32" s="247">
        <f t="shared" si="16"/>
        <v>0</v>
      </c>
      <c r="AF32" s="226"/>
      <c r="AG32" s="247">
        <v>0</v>
      </c>
      <c r="AH32" s="247">
        <v>0</v>
      </c>
      <c r="AI32" s="247">
        <v>0</v>
      </c>
      <c r="AJ32" s="226"/>
      <c r="AK32" s="247">
        <f t="shared" si="17"/>
        <v>0</v>
      </c>
      <c r="AL32" s="247">
        <f t="shared" si="18"/>
        <v>0</v>
      </c>
      <c r="AM32" s="247">
        <f t="shared" si="19"/>
        <v>0</v>
      </c>
      <c r="AN32" s="225"/>
      <c r="AO32" s="225">
        <v>0</v>
      </c>
      <c r="AP32" s="225">
        <v>0</v>
      </c>
      <c r="AQ32" s="225">
        <v>0</v>
      </c>
      <c r="AR32" s="225">
        <v>0</v>
      </c>
      <c r="AS32" s="225">
        <v>0</v>
      </c>
      <c r="AT32" s="225">
        <v>0</v>
      </c>
      <c r="AU32" s="225">
        <v>0</v>
      </c>
      <c r="AV32" s="225">
        <f t="shared" si="20"/>
        <v>0</v>
      </c>
      <c r="AX32" s="225">
        <f t="shared" si="21"/>
        <v>0</v>
      </c>
      <c r="AY32" s="225">
        <f t="shared" si="22"/>
        <v>0</v>
      </c>
      <c r="AZ32" s="225">
        <f t="shared" si="23"/>
        <v>0</v>
      </c>
      <c r="BA32" s="225">
        <f t="shared" si="24"/>
        <v>0</v>
      </c>
      <c r="BB32" s="225">
        <f t="shared" si="25"/>
        <v>0</v>
      </c>
      <c r="BC32" s="225">
        <f t="shared" si="26"/>
        <v>0</v>
      </c>
      <c r="BD32" s="225">
        <f t="shared" si="27"/>
        <v>0</v>
      </c>
      <c r="BE32" s="225">
        <f t="shared" si="28"/>
        <v>0</v>
      </c>
      <c r="BF32" s="225">
        <f t="shared" si="29"/>
        <v>0</v>
      </c>
      <c r="BG32" s="225">
        <f t="shared" si="2"/>
        <v>0</v>
      </c>
      <c r="BH32" s="225">
        <f t="shared" si="3"/>
        <v>0</v>
      </c>
      <c r="BI32" s="225">
        <f t="shared" si="4"/>
        <v>0</v>
      </c>
      <c r="BJ32" s="225">
        <f t="shared" si="5"/>
        <v>0</v>
      </c>
      <c r="BK32" s="225">
        <f t="shared" si="6"/>
        <v>0</v>
      </c>
      <c r="BL32" s="225">
        <f t="shared" si="7"/>
        <v>0</v>
      </c>
      <c r="BM32" s="225">
        <f t="shared" si="8"/>
        <v>0</v>
      </c>
      <c r="BN32" s="225">
        <f t="shared" si="30"/>
        <v>0</v>
      </c>
      <c r="BO32" s="225">
        <f t="shared" si="9"/>
        <v>0</v>
      </c>
      <c r="BP32" s="225"/>
      <c r="BQ32" s="225"/>
      <c r="BR32" s="225"/>
      <c r="BS32" s="225"/>
      <c r="BT32" s="225"/>
      <c r="BU32" s="225"/>
      <c r="BV32" s="225"/>
      <c r="BW32" s="225"/>
      <c r="BY32" s="176"/>
      <c r="BZ32" s="176"/>
      <c r="CA32" s="176"/>
      <c r="CB32" s="176"/>
      <c r="CC32" s="176"/>
      <c r="CD32" s="176"/>
      <c r="CE32" s="176"/>
      <c r="CF32" s="176"/>
      <c r="CH32" s="248"/>
      <c r="CI32" s="248"/>
      <c r="CJ32" s="248"/>
      <c r="CK32" s="248"/>
      <c r="CL32" s="248"/>
      <c r="CM32" s="248"/>
      <c r="CN32" s="248"/>
      <c r="CO32" s="248"/>
      <c r="CQ32" s="248"/>
      <c r="CR32" s="248"/>
      <c r="CS32" s="248"/>
      <c r="CT32" s="248"/>
      <c r="CU32" s="248"/>
      <c r="CV32" s="248"/>
      <c r="CW32" s="248"/>
      <c r="CX32" s="248"/>
      <c r="CY32" s="248"/>
      <c r="DA32" s="248"/>
      <c r="DB32" s="248"/>
      <c r="DC32" s="248"/>
      <c r="DD32" s="248"/>
      <c r="DE32" s="248"/>
      <c r="DF32" s="248"/>
      <c r="DG32" s="248"/>
      <c r="DH32" s="248"/>
      <c r="DJ32" s="179" t="e">
        <f>#REF!+((SUMIFS($F32:$AM32,$F$3:$AM$3,$DJ$7)*80%))+SUMIFS(#REF!,#REF!,$DJ$7)</f>
        <v>#REF!</v>
      </c>
      <c r="DK32" s="179">
        <f t="shared" si="10"/>
        <v>0</v>
      </c>
      <c r="DL32" s="173" t="e">
        <f t="shared" si="31"/>
        <v>#REF!</v>
      </c>
    </row>
    <row r="33" spans="1:116">
      <c r="A33" s="168">
        <v>2171</v>
      </c>
      <c r="B33" s="2">
        <v>144337</v>
      </c>
      <c r="C33" s="2" t="s">
        <v>237</v>
      </c>
      <c r="D33" s="30"/>
      <c r="E33" s="226"/>
      <c r="F33" s="176">
        <v>0</v>
      </c>
      <c r="G33" s="176">
        <v>0</v>
      </c>
      <c r="H33" s="176">
        <v>35318.400000000001</v>
      </c>
      <c r="I33" s="176">
        <v>2145</v>
      </c>
      <c r="J33" s="176">
        <v>820.36842105263156</v>
      </c>
      <c r="K33" s="176">
        <v>0</v>
      </c>
      <c r="L33" s="30">
        <f t="shared" si="11"/>
        <v>38283.768421052635</v>
      </c>
      <c r="M33" s="176">
        <f t="shared" si="12"/>
        <v>30627.014736842109</v>
      </c>
      <c r="N33" s="226"/>
      <c r="O33" s="176">
        <v>0</v>
      </c>
      <c r="P33" s="176">
        <v>0</v>
      </c>
      <c r="Q33" s="176">
        <v>23177.7</v>
      </c>
      <c r="R33" s="176">
        <v>780</v>
      </c>
      <c r="S33" s="176">
        <v>298.31578947368422</v>
      </c>
      <c r="T33" s="176">
        <v>0</v>
      </c>
      <c r="U33" s="176">
        <f t="shared" si="13"/>
        <v>24256.015789473684</v>
      </c>
      <c r="V33" s="176">
        <f t="shared" si="14"/>
        <v>19404.812631578949</v>
      </c>
      <c r="W33" s="226"/>
      <c r="X33" s="247"/>
      <c r="Y33" s="176">
        <v>0</v>
      </c>
      <c r="Z33" s="176">
        <v>27346.736842105267</v>
      </c>
      <c r="AA33" s="176">
        <v>1250.5263157894738</v>
      </c>
      <c r="AB33" s="176">
        <v>478.27146814404432</v>
      </c>
      <c r="AC33" s="176">
        <v>0</v>
      </c>
      <c r="AD33" s="176">
        <f t="shared" si="15"/>
        <v>29075.534626038785</v>
      </c>
      <c r="AE33" s="247">
        <f t="shared" si="16"/>
        <v>23260.427700831031</v>
      </c>
      <c r="AF33" s="226"/>
      <c r="AG33" s="247">
        <v>778.05</v>
      </c>
      <c r="AH33" s="247">
        <v>534.30000000000007</v>
      </c>
      <c r="AI33" s="247">
        <v>644.02105263157887</v>
      </c>
      <c r="AJ33" s="226"/>
      <c r="AK33" s="247">
        <f t="shared" si="17"/>
        <v>622.44000000000005</v>
      </c>
      <c r="AL33" s="247">
        <f t="shared" si="18"/>
        <v>427.44000000000005</v>
      </c>
      <c r="AM33" s="247">
        <f t="shared" si="19"/>
        <v>515.21684210526314</v>
      </c>
      <c r="AN33" s="225"/>
      <c r="AO33" s="225">
        <v>0</v>
      </c>
      <c r="AP33" s="225">
        <v>0</v>
      </c>
      <c r="AQ33" s="225">
        <v>23177.7</v>
      </c>
      <c r="AR33" s="225">
        <v>1170</v>
      </c>
      <c r="AS33" s="225">
        <v>447.47368421052636</v>
      </c>
      <c r="AT33" s="225">
        <v>0</v>
      </c>
      <c r="AU33" s="225">
        <v>534.30000000000007</v>
      </c>
      <c r="AV33" s="225">
        <f t="shared" si="20"/>
        <v>25329.473684210527</v>
      </c>
      <c r="AX33" s="225">
        <f t="shared" si="21"/>
        <v>0</v>
      </c>
      <c r="AY33" s="225">
        <f t="shared" si="22"/>
        <v>0</v>
      </c>
      <c r="AZ33" s="225">
        <f t="shared" si="23"/>
        <v>-12140.7</v>
      </c>
      <c r="BA33" s="225">
        <f t="shared" si="24"/>
        <v>-975</v>
      </c>
      <c r="BB33" s="225">
        <f t="shared" si="25"/>
        <v>-372.8947368421052</v>
      </c>
      <c r="BC33" s="225">
        <f t="shared" si="26"/>
        <v>0</v>
      </c>
      <c r="BD33" s="225">
        <f t="shared" si="27"/>
        <v>-243.74999999999989</v>
      </c>
      <c r="BE33" s="225">
        <f t="shared" si="28"/>
        <v>-13732.344736842106</v>
      </c>
      <c r="BF33" s="225">
        <f t="shared" si="29"/>
        <v>0</v>
      </c>
      <c r="BG33" s="225">
        <f t="shared" si="2"/>
        <v>0</v>
      </c>
      <c r="BH33" s="225">
        <f t="shared" si="3"/>
        <v>0</v>
      </c>
      <c r="BI33" s="225">
        <f t="shared" si="4"/>
        <v>-5077.0200000000004</v>
      </c>
      <c r="BJ33" s="225">
        <f t="shared" si="5"/>
        <v>-546</v>
      </c>
      <c r="BK33" s="225">
        <f t="shared" si="6"/>
        <v>-208.82105263157894</v>
      </c>
      <c r="BL33" s="225">
        <f t="shared" si="7"/>
        <v>0</v>
      </c>
      <c r="BM33" s="225">
        <f t="shared" si="8"/>
        <v>-88.139999999999986</v>
      </c>
      <c r="BN33" s="225">
        <f t="shared" si="30"/>
        <v>-5919.9810526315796</v>
      </c>
      <c r="BO33" s="225">
        <f t="shared" si="9"/>
        <v>0</v>
      </c>
      <c r="BP33" s="225"/>
      <c r="BQ33" s="225"/>
      <c r="BR33" s="225"/>
      <c r="BS33" s="225"/>
      <c r="BT33" s="225"/>
      <c r="BU33" s="225"/>
      <c r="BV33" s="225"/>
      <c r="BW33" s="225"/>
      <c r="BY33" s="176"/>
      <c r="BZ33" s="176"/>
      <c r="CA33" s="176"/>
      <c r="CB33" s="176"/>
      <c r="CC33" s="176"/>
      <c r="CD33" s="176"/>
      <c r="CE33" s="176"/>
      <c r="CF33" s="176"/>
      <c r="CH33" s="248"/>
      <c r="CI33" s="248"/>
      <c r="CJ33" s="248"/>
      <c r="CK33" s="248"/>
      <c r="CL33" s="248"/>
      <c r="CM33" s="248"/>
      <c r="CN33" s="248"/>
      <c r="CO33" s="248"/>
      <c r="CQ33" s="248"/>
      <c r="CR33" s="248"/>
      <c r="CS33" s="248"/>
      <c r="CT33" s="248"/>
      <c r="CU33" s="248"/>
      <c r="CV33" s="248"/>
      <c r="CW33" s="248"/>
      <c r="CX33" s="248"/>
      <c r="CY33" s="248"/>
      <c r="DA33" s="248"/>
      <c r="DB33" s="248"/>
      <c r="DC33" s="248"/>
      <c r="DD33" s="248"/>
      <c r="DE33" s="248"/>
      <c r="DF33" s="248"/>
      <c r="DG33" s="248"/>
      <c r="DH33" s="248"/>
      <c r="DJ33" s="179" t="e">
        <f>#REF!+((SUMIFS($F33:$AM33,$F$3:$AM$3,$DJ$7)*80%))+SUMIFS(#REF!,#REF!,$DJ$7)</f>
        <v>#REF!</v>
      </c>
      <c r="DK33" s="179">
        <f t="shared" si="10"/>
        <v>0</v>
      </c>
      <c r="DL33" s="173" t="e">
        <f t="shared" si="31"/>
        <v>#REF!</v>
      </c>
    </row>
    <row r="34" spans="1:116">
      <c r="A34" s="168">
        <v>4017</v>
      </c>
      <c r="B34" s="2">
        <v>141318</v>
      </c>
      <c r="C34" s="2" t="s">
        <v>238</v>
      </c>
      <c r="D34" s="30"/>
      <c r="E34" s="226"/>
      <c r="F34" s="176">
        <v>0</v>
      </c>
      <c r="G34" s="176">
        <v>0</v>
      </c>
      <c r="H34" s="176">
        <v>0</v>
      </c>
      <c r="I34" s="176">
        <v>0</v>
      </c>
      <c r="J34" s="176">
        <v>0</v>
      </c>
      <c r="K34" s="176">
        <v>0</v>
      </c>
      <c r="L34" s="30">
        <f t="shared" si="11"/>
        <v>0</v>
      </c>
      <c r="M34" s="176">
        <f t="shared" si="12"/>
        <v>0</v>
      </c>
      <c r="N34" s="226"/>
      <c r="O34" s="176">
        <v>0</v>
      </c>
      <c r="P34" s="176">
        <v>0</v>
      </c>
      <c r="Q34" s="176">
        <v>0</v>
      </c>
      <c r="R34" s="176">
        <v>0</v>
      </c>
      <c r="S34" s="176">
        <v>0</v>
      </c>
      <c r="T34" s="176">
        <v>0</v>
      </c>
      <c r="U34" s="176">
        <f t="shared" si="13"/>
        <v>0</v>
      </c>
      <c r="V34" s="176">
        <f t="shared" si="14"/>
        <v>0</v>
      </c>
      <c r="W34" s="226"/>
      <c r="X34" s="247"/>
      <c r="Y34" s="176">
        <v>0</v>
      </c>
      <c r="Z34" s="176">
        <v>0</v>
      </c>
      <c r="AA34" s="176">
        <v>0</v>
      </c>
      <c r="AB34" s="176">
        <v>0</v>
      </c>
      <c r="AC34" s="176">
        <v>0</v>
      </c>
      <c r="AD34" s="176">
        <f t="shared" si="15"/>
        <v>0</v>
      </c>
      <c r="AE34" s="247">
        <f t="shared" si="16"/>
        <v>0</v>
      </c>
      <c r="AF34" s="226"/>
      <c r="AG34" s="247">
        <v>0</v>
      </c>
      <c r="AH34" s="247">
        <v>0</v>
      </c>
      <c r="AI34" s="247">
        <v>0</v>
      </c>
      <c r="AJ34" s="226"/>
      <c r="AK34" s="247">
        <f t="shared" si="17"/>
        <v>0</v>
      </c>
      <c r="AL34" s="247">
        <f t="shared" si="18"/>
        <v>0</v>
      </c>
      <c r="AM34" s="247">
        <f t="shared" si="19"/>
        <v>0</v>
      </c>
      <c r="AN34" s="225"/>
      <c r="AO34" s="225">
        <v>0</v>
      </c>
      <c r="AP34" s="225">
        <v>0</v>
      </c>
      <c r="AQ34" s="225">
        <v>0</v>
      </c>
      <c r="AR34" s="225">
        <v>0</v>
      </c>
      <c r="AS34" s="225">
        <v>0</v>
      </c>
      <c r="AT34" s="225">
        <v>0</v>
      </c>
      <c r="AU34" s="225">
        <v>0</v>
      </c>
      <c r="AV34" s="225">
        <f t="shared" si="20"/>
        <v>0</v>
      </c>
      <c r="AX34" s="225">
        <f t="shared" si="21"/>
        <v>0</v>
      </c>
      <c r="AY34" s="225">
        <f t="shared" si="22"/>
        <v>0</v>
      </c>
      <c r="AZ34" s="225">
        <f t="shared" si="23"/>
        <v>0</v>
      </c>
      <c r="BA34" s="225">
        <f t="shared" si="24"/>
        <v>0</v>
      </c>
      <c r="BB34" s="225">
        <f t="shared" si="25"/>
        <v>0</v>
      </c>
      <c r="BC34" s="225">
        <f t="shared" si="26"/>
        <v>0</v>
      </c>
      <c r="BD34" s="225">
        <f t="shared" si="27"/>
        <v>0</v>
      </c>
      <c r="BE34" s="225">
        <f t="shared" si="28"/>
        <v>0</v>
      </c>
      <c r="BF34" s="225">
        <f t="shared" si="29"/>
        <v>0</v>
      </c>
      <c r="BG34" s="225">
        <f t="shared" si="2"/>
        <v>0</v>
      </c>
      <c r="BH34" s="225">
        <f t="shared" si="3"/>
        <v>0</v>
      </c>
      <c r="BI34" s="225">
        <f t="shared" si="4"/>
        <v>0</v>
      </c>
      <c r="BJ34" s="225">
        <f t="shared" si="5"/>
        <v>0</v>
      </c>
      <c r="BK34" s="225">
        <f t="shared" si="6"/>
        <v>0</v>
      </c>
      <c r="BL34" s="225">
        <f t="shared" si="7"/>
        <v>0</v>
      </c>
      <c r="BM34" s="225">
        <f t="shared" si="8"/>
        <v>0</v>
      </c>
      <c r="BN34" s="225">
        <f t="shared" si="30"/>
        <v>0</v>
      </c>
      <c r="BO34" s="225">
        <f t="shared" si="9"/>
        <v>0</v>
      </c>
      <c r="BP34" s="225"/>
      <c r="BQ34" s="225"/>
      <c r="BR34" s="225"/>
      <c r="BS34" s="225"/>
      <c r="BT34" s="225"/>
      <c r="BU34" s="225"/>
      <c r="BV34" s="225"/>
      <c r="BW34" s="225"/>
      <c r="BY34" s="176"/>
      <c r="BZ34" s="176"/>
      <c r="CA34" s="176"/>
      <c r="CB34" s="176"/>
      <c r="CC34" s="176"/>
      <c r="CD34" s="176"/>
      <c r="CE34" s="176"/>
      <c r="CF34" s="176"/>
      <c r="CH34" s="248"/>
      <c r="CI34" s="248"/>
      <c r="CJ34" s="248"/>
      <c r="CK34" s="248"/>
      <c r="CL34" s="248"/>
      <c r="CM34" s="248"/>
      <c r="CN34" s="248"/>
      <c r="CO34" s="248"/>
      <c r="CQ34" s="248"/>
      <c r="CR34" s="248"/>
      <c r="CS34" s="248"/>
      <c r="CT34" s="248"/>
      <c r="CU34" s="248"/>
      <c r="CV34" s="248"/>
      <c r="CW34" s="248"/>
      <c r="CX34" s="248"/>
      <c r="CY34" s="248"/>
      <c r="DA34" s="248"/>
      <c r="DB34" s="248"/>
      <c r="DC34" s="248"/>
      <c r="DD34" s="248"/>
      <c r="DE34" s="248"/>
      <c r="DF34" s="248"/>
      <c r="DG34" s="248"/>
      <c r="DH34" s="248"/>
      <c r="DJ34" s="179" t="e">
        <f>#REF!+((SUMIFS($F34:$AM34,$F$3:$AM$3,$DJ$7)*80%))+SUMIFS(#REF!,#REF!,$DJ$7)</f>
        <v>#REF!</v>
      </c>
      <c r="DK34" s="179">
        <f t="shared" si="10"/>
        <v>0</v>
      </c>
      <c r="DL34" s="173" t="e">
        <f t="shared" si="31"/>
        <v>#REF!</v>
      </c>
    </row>
    <row r="35" spans="1:116">
      <c r="A35" s="168">
        <v>7038</v>
      </c>
      <c r="B35" s="2">
        <v>144042</v>
      </c>
      <c r="C35" s="2" t="s">
        <v>239</v>
      </c>
      <c r="D35" s="30"/>
      <c r="E35" s="226"/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30">
        <f t="shared" si="11"/>
        <v>0</v>
      </c>
      <c r="M35" s="176">
        <f t="shared" si="12"/>
        <v>0</v>
      </c>
      <c r="N35" s="226"/>
      <c r="O35" s="176">
        <v>0</v>
      </c>
      <c r="P35" s="176">
        <v>0</v>
      </c>
      <c r="Q35" s="176">
        <v>0</v>
      </c>
      <c r="R35" s="176">
        <v>0</v>
      </c>
      <c r="S35" s="176">
        <v>0</v>
      </c>
      <c r="T35" s="176">
        <v>0</v>
      </c>
      <c r="U35" s="176">
        <f t="shared" si="13"/>
        <v>0</v>
      </c>
      <c r="V35" s="176">
        <f t="shared" si="14"/>
        <v>0</v>
      </c>
      <c r="W35" s="226"/>
      <c r="X35" s="247"/>
      <c r="Y35" s="176">
        <v>0</v>
      </c>
      <c r="Z35" s="176">
        <v>0</v>
      </c>
      <c r="AA35" s="176">
        <v>0</v>
      </c>
      <c r="AB35" s="176">
        <v>0</v>
      </c>
      <c r="AC35" s="176">
        <v>0</v>
      </c>
      <c r="AD35" s="176">
        <f t="shared" si="15"/>
        <v>0</v>
      </c>
      <c r="AE35" s="247">
        <f t="shared" si="16"/>
        <v>0</v>
      </c>
      <c r="AF35" s="226"/>
      <c r="AG35" s="247">
        <v>0</v>
      </c>
      <c r="AH35" s="247">
        <v>0</v>
      </c>
      <c r="AI35" s="247">
        <v>0</v>
      </c>
      <c r="AJ35" s="226"/>
      <c r="AK35" s="247">
        <f t="shared" si="17"/>
        <v>0</v>
      </c>
      <c r="AL35" s="247">
        <f t="shared" si="18"/>
        <v>0</v>
      </c>
      <c r="AM35" s="247">
        <f t="shared" si="19"/>
        <v>0</v>
      </c>
      <c r="AN35" s="225"/>
      <c r="AO35" s="225">
        <v>0</v>
      </c>
      <c r="AP35" s="225">
        <v>0</v>
      </c>
      <c r="AQ35" s="225">
        <v>0</v>
      </c>
      <c r="AR35" s="225">
        <v>0</v>
      </c>
      <c r="AS35" s="225">
        <v>0</v>
      </c>
      <c r="AT35" s="225">
        <v>0</v>
      </c>
      <c r="AU35" s="225">
        <v>0</v>
      </c>
      <c r="AV35" s="225">
        <f t="shared" si="20"/>
        <v>0</v>
      </c>
      <c r="AX35" s="225">
        <f t="shared" si="21"/>
        <v>0</v>
      </c>
      <c r="AY35" s="225">
        <f t="shared" si="22"/>
        <v>0</v>
      </c>
      <c r="AZ35" s="225">
        <f t="shared" si="23"/>
        <v>0</v>
      </c>
      <c r="BA35" s="225">
        <f t="shared" si="24"/>
        <v>0</v>
      </c>
      <c r="BB35" s="225">
        <f t="shared" si="25"/>
        <v>0</v>
      </c>
      <c r="BC35" s="225">
        <f t="shared" si="26"/>
        <v>0</v>
      </c>
      <c r="BD35" s="225">
        <f t="shared" si="27"/>
        <v>0</v>
      </c>
      <c r="BE35" s="225">
        <f t="shared" si="28"/>
        <v>0</v>
      </c>
      <c r="BF35" s="225">
        <f t="shared" si="29"/>
        <v>0</v>
      </c>
      <c r="BG35" s="225">
        <f t="shared" si="2"/>
        <v>0</v>
      </c>
      <c r="BH35" s="225">
        <f t="shared" si="3"/>
        <v>0</v>
      </c>
      <c r="BI35" s="225">
        <f t="shared" si="4"/>
        <v>0</v>
      </c>
      <c r="BJ35" s="225">
        <f t="shared" si="5"/>
        <v>0</v>
      </c>
      <c r="BK35" s="225">
        <f t="shared" si="6"/>
        <v>0</v>
      </c>
      <c r="BL35" s="225">
        <f t="shared" si="7"/>
        <v>0</v>
      </c>
      <c r="BM35" s="225">
        <f t="shared" si="8"/>
        <v>0</v>
      </c>
      <c r="BN35" s="225">
        <f t="shared" si="30"/>
        <v>0</v>
      </c>
      <c r="BO35" s="225">
        <f t="shared" si="9"/>
        <v>0</v>
      </c>
      <c r="BP35" s="225"/>
      <c r="BQ35" s="225"/>
      <c r="BR35" s="225"/>
      <c r="BS35" s="225"/>
      <c r="BT35" s="225"/>
      <c r="BU35" s="225"/>
      <c r="BV35" s="225"/>
      <c r="BW35" s="225"/>
      <c r="BY35" s="176"/>
      <c r="BZ35" s="176"/>
      <c r="CA35" s="176"/>
      <c r="CB35" s="176"/>
      <c r="CC35" s="176"/>
      <c r="CD35" s="176"/>
      <c r="CE35" s="176"/>
      <c r="CF35" s="176"/>
      <c r="CH35" s="248"/>
      <c r="CI35" s="248"/>
      <c r="CJ35" s="248"/>
      <c r="CK35" s="248"/>
      <c r="CL35" s="248"/>
      <c r="CM35" s="248"/>
      <c r="CN35" s="248"/>
      <c r="CO35" s="248"/>
      <c r="CQ35" s="248"/>
      <c r="CR35" s="248"/>
      <c r="CS35" s="248"/>
      <c r="CT35" s="248"/>
      <c r="CU35" s="248"/>
      <c r="CV35" s="248"/>
      <c r="CW35" s="248"/>
      <c r="CX35" s="248"/>
      <c r="CY35" s="248"/>
      <c r="DA35" s="248"/>
      <c r="DB35" s="248"/>
      <c r="DC35" s="248"/>
      <c r="DD35" s="248"/>
      <c r="DE35" s="248"/>
      <c r="DF35" s="248"/>
      <c r="DG35" s="248"/>
      <c r="DH35" s="248"/>
      <c r="DJ35" s="179" t="e">
        <f>#REF!+((SUMIFS($F35:$AM35,$F$3:$AM$3,$DJ$7)*80%))+SUMIFS(#REF!,#REF!,$DJ$7)</f>
        <v>#REF!</v>
      </c>
      <c r="DK35" s="179">
        <f t="shared" si="10"/>
        <v>0</v>
      </c>
      <c r="DL35" s="173" t="e">
        <f t="shared" si="31"/>
        <v>#REF!</v>
      </c>
    </row>
    <row r="36" spans="1:116">
      <c r="A36" s="168">
        <v>4227</v>
      </c>
      <c r="B36" s="2">
        <v>139841</v>
      </c>
      <c r="C36" s="2" t="s">
        <v>240</v>
      </c>
      <c r="D36" s="30"/>
      <c r="E36" s="226"/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30">
        <f t="shared" si="11"/>
        <v>0</v>
      </c>
      <c r="M36" s="176">
        <f t="shared" si="12"/>
        <v>0</v>
      </c>
      <c r="N36" s="226"/>
      <c r="O36" s="176">
        <v>0</v>
      </c>
      <c r="P36" s="176">
        <v>0</v>
      </c>
      <c r="Q36" s="176">
        <v>0</v>
      </c>
      <c r="R36" s="176">
        <v>0</v>
      </c>
      <c r="S36" s="176">
        <v>0</v>
      </c>
      <c r="T36" s="176">
        <v>0</v>
      </c>
      <c r="U36" s="176">
        <f t="shared" si="13"/>
        <v>0</v>
      </c>
      <c r="V36" s="176">
        <f t="shared" si="14"/>
        <v>0</v>
      </c>
      <c r="W36" s="226"/>
      <c r="X36" s="247"/>
      <c r="Y36" s="176">
        <v>0</v>
      </c>
      <c r="Z36" s="176">
        <v>0</v>
      </c>
      <c r="AA36" s="176">
        <v>0</v>
      </c>
      <c r="AB36" s="176">
        <v>0</v>
      </c>
      <c r="AC36" s="176">
        <v>0</v>
      </c>
      <c r="AD36" s="176">
        <f t="shared" si="15"/>
        <v>0</v>
      </c>
      <c r="AE36" s="247">
        <f t="shared" si="16"/>
        <v>0</v>
      </c>
      <c r="AF36" s="226"/>
      <c r="AG36" s="247">
        <v>0</v>
      </c>
      <c r="AH36" s="247">
        <v>0</v>
      </c>
      <c r="AI36" s="247">
        <v>0</v>
      </c>
      <c r="AJ36" s="226"/>
      <c r="AK36" s="247">
        <f t="shared" si="17"/>
        <v>0</v>
      </c>
      <c r="AL36" s="247">
        <f t="shared" si="18"/>
        <v>0</v>
      </c>
      <c r="AM36" s="247">
        <f t="shared" si="19"/>
        <v>0</v>
      </c>
      <c r="AN36" s="225"/>
      <c r="AO36" s="225">
        <v>0</v>
      </c>
      <c r="AP36" s="225">
        <v>0</v>
      </c>
      <c r="AQ36" s="225">
        <v>0</v>
      </c>
      <c r="AR36" s="225">
        <v>0</v>
      </c>
      <c r="AS36" s="225">
        <v>0</v>
      </c>
      <c r="AT36" s="225">
        <v>0</v>
      </c>
      <c r="AU36" s="225">
        <v>0</v>
      </c>
      <c r="AV36" s="225">
        <f t="shared" si="20"/>
        <v>0</v>
      </c>
      <c r="AX36" s="225">
        <f t="shared" si="21"/>
        <v>0</v>
      </c>
      <c r="AY36" s="225">
        <f t="shared" si="22"/>
        <v>0</v>
      </c>
      <c r="AZ36" s="225">
        <f t="shared" si="23"/>
        <v>0</v>
      </c>
      <c r="BA36" s="225">
        <f t="shared" si="24"/>
        <v>0</v>
      </c>
      <c r="BB36" s="225">
        <f t="shared" si="25"/>
        <v>0</v>
      </c>
      <c r="BC36" s="225">
        <f t="shared" si="26"/>
        <v>0</v>
      </c>
      <c r="BD36" s="225">
        <f t="shared" si="27"/>
        <v>0</v>
      </c>
      <c r="BE36" s="225">
        <f t="shared" si="28"/>
        <v>0</v>
      </c>
      <c r="BF36" s="225">
        <f t="shared" si="29"/>
        <v>0</v>
      </c>
      <c r="BG36" s="225">
        <f t="shared" si="2"/>
        <v>0</v>
      </c>
      <c r="BH36" s="225">
        <f t="shared" si="3"/>
        <v>0</v>
      </c>
      <c r="BI36" s="225">
        <f t="shared" si="4"/>
        <v>0</v>
      </c>
      <c r="BJ36" s="225">
        <f t="shared" si="5"/>
        <v>0</v>
      </c>
      <c r="BK36" s="225">
        <f t="shared" si="6"/>
        <v>0</v>
      </c>
      <c r="BL36" s="225">
        <f t="shared" si="7"/>
        <v>0</v>
      </c>
      <c r="BM36" s="225">
        <f t="shared" si="8"/>
        <v>0</v>
      </c>
      <c r="BN36" s="225">
        <f t="shared" si="30"/>
        <v>0</v>
      </c>
      <c r="BO36" s="225">
        <f t="shared" si="9"/>
        <v>0</v>
      </c>
      <c r="BP36" s="225"/>
      <c r="BQ36" s="225"/>
      <c r="BR36" s="225"/>
      <c r="BS36" s="225"/>
      <c r="BT36" s="225"/>
      <c r="BU36" s="225"/>
      <c r="BV36" s="225"/>
      <c r="BW36" s="225"/>
      <c r="BY36" s="176"/>
      <c r="BZ36" s="176"/>
      <c r="CA36" s="176"/>
      <c r="CB36" s="176"/>
      <c r="CC36" s="176"/>
      <c r="CD36" s="176"/>
      <c r="CE36" s="176"/>
      <c r="CF36" s="176"/>
      <c r="CH36" s="248"/>
      <c r="CI36" s="248"/>
      <c r="CJ36" s="248"/>
      <c r="CK36" s="248"/>
      <c r="CL36" s="248"/>
      <c r="CM36" s="248"/>
      <c r="CN36" s="248"/>
      <c r="CO36" s="248"/>
      <c r="CQ36" s="248"/>
      <c r="CR36" s="248"/>
      <c r="CS36" s="248"/>
      <c r="CT36" s="248"/>
      <c r="CU36" s="248"/>
      <c r="CV36" s="248"/>
      <c r="CW36" s="248"/>
      <c r="CX36" s="248"/>
      <c r="CY36" s="248"/>
      <c r="DA36" s="248"/>
      <c r="DB36" s="248"/>
      <c r="DC36" s="248"/>
      <c r="DD36" s="248"/>
      <c r="DE36" s="248"/>
      <c r="DF36" s="248"/>
      <c r="DG36" s="248"/>
      <c r="DH36" s="248"/>
      <c r="DJ36" s="179" t="e">
        <f>#REF!+((SUMIFS($F36:$AM36,$F$3:$AM$3,$DJ$7)*80%))+SUMIFS(#REF!,#REF!,$DJ$7)</f>
        <v>#REF!</v>
      </c>
      <c r="DK36" s="179">
        <f t="shared" si="10"/>
        <v>0</v>
      </c>
      <c r="DL36" s="173" t="e">
        <f t="shared" si="31"/>
        <v>#REF!</v>
      </c>
    </row>
    <row r="37" spans="1:116">
      <c r="A37" s="168">
        <v>2196</v>
      </c>
      <c r="B37" s="2">
        <v>146437</v>
      </c>
      <c r="C37" s="2" t="s">
        <v>241</v>
      </c>
      <c r="D37" s="30"/>
      <c r="E37" s="226"/>
      <c r="F37" s="176">
        <v>0</v>
      </c>
      <c r="G37" s="176">
        <v>0</v>
      </c>
      <c r="H37" s="176">
        <v>25385.100000000002</v>
      </c>
      <c r="I37" s="176">
        <v>0</v>
      </c>
      <c r="J37" s="176">
        <v>0</v>
      </c>
      <c r="K37" s="176">
        <v>0</v>
      </c>
      <c r="L37" s="30">
        <f t="shared" si="11"/>
        <v>25385.100000000002</v>
      </c>
      <c r="M37" s="176">
        <f t="shared" si="12"/>
        <v>20308.080000000002</v>
      </c>
      <c r="N37" s="226"/>
      <c r="O37" s="176">
        <v>0</v>
      </c>
      <c r="P37" s="176">
        <v>0</v>
      </c>
      <c r="Q37" s="176">
        <v>17659.2</v>
      </c>
      <c r="R37" s="176">
        <v>585</v>
      </c>
      <c r="S37" s="176">
        <v>223.73684210526318</v>
      </c>
      <c r="T37" s="176">
        <v>0</v>
      </c>
      <c r="U37" s="176">
        <f t="shared" si="13"/>
        <v>18467.936842105264</v>
      </c>
      <c r="V37" s="176">
        <f t="shared" si="14"/>
        <v>14774.349473684211</v>
      </c>
      <c r="W37" s="226"/>
      <c r="X37" s="247"/>
      <c r="Y37" s="176">
        <v>0</v>
      </c>
      <c r="Z37" s="176">
        <v>18981.85263157895</v>
      </c>
      <c r="AA37" s="176">
        <v>227.36842105263156</v>
      </c>
      <c r="AB37" s="176">
        <v>86.958448753462591</v>
      </c>
      <c r="AC37" s="176">
        <v>0</v>
      </c>
      <c r="AD37" s="176">
        <f t="shared" si="15"/>
        <v>19296.179501385042</v>
      </c>
      <c r="AE37" s="247">
        <f t="shared" si="16"/>
        <v>15436.943601108034</v>
      </c>
      <c r="AF37" s="226"/>
      <c r="AG37" s="247">
        <v>1507.35</v>
      </c>
      <c r="AH37" s="247">
        <v>871.65</v>
      </c>
      <c r="AI37" s="247">
        <v>1045.3263157894737</v>
      </c>
      <c r="AJ37" s="226"/>
      <c r="AK37" s="247">
        <f t="shared" si="17"/>
        <v>1205.8799999999999</v>
      </c>
      <c r="AL37" s="247">
        <f t="shared" si="18"/>
        <v>697.32</v>
      </c>
      <c r="AM37" s="247">
        <f t="shared" si="19"/>
        <v>836.26105263157899</v>
      </c>
      <c r="AN37" s="225"/>
      <c r="AO37" s="225">
        <v>0</v>
      </c>
      <c r="AP37" s="225">
        <v>0</v>
      </c>
      <c r="AQ37" s="225">
        <v>25385.100000000002</v>
      </c>
      <c r="AR37" s="225">
        <v>1560</v>
      </c>
      <c r="AS37" s="225">
        <v>596.63157894736844</v>
      </c>
      <c r="AT37" s="225">
        <v>0</v>
      </c>
      <c r="AU37" s="225">
        <v>1573.65</v>
      </c>
      <c r="AV37" s="225">
        <f t="shared" si="20"/>
        <v>29115.381578947374</v>
      </c>
      <c r="AX37" s="225">
        <f t="shared" si="21"/>
        <v>0</v>
      </c>
      <c r="AY37" s="225">
        <f t="shared" si="22"/>
        <v>0</v>
      </c>
      <c r="AZ37" s="225">
        <f t="shared" si="23"/>
        <v>0</v>
      </c>
      <c r="BA37" s="225">
        <f t="shared" si="24"/>
        <v>1560</v>
      </c>
      <c r="BB37" s="225">
        <f t="shared" si="25"/>
        <v>596.63157894736844</v>
      </c>
      <c r="BC37" s="225">
        <f t="shared" si="26"/>
        <v>0</v>
      </c>
      <c r="BD37" s="225">
        <f t="shared" si="27"/>
        <v>66.300000000000182</v>
      </c>
      <c r="BE37" s="225">
        <f t="shared" si="28"/>
        <v>2222.9315789473685</v>
      </c>
      <c r="BF37" s="225">
        <f t="shared" si="29"/>
        <v>0</v>
      </c>
      <c r="BG37" s="225">
        <f t="shared" si="2"/>
        <v>0</v>
      </c>
      <c r="BH37" s="225">
        <f t="shared" si="3"/>
        <v>0</v>
      </c>
      <c r="BI37" s="225">
        <f t="shared" si="4"/>
        <v>5077.0200000000004</v>
      </c>
      <c r="BJ37" s="225">
        <f t="shared" si="5"/>
        <v>1560</v>
      </c>
      <c r="BK37" s="225">
        <f t="shared" si="6"/>
        <v>596.63157894736844</v>
      </c>
      <c r="BL37" s="225">
        <f t="shared" si="7"/>
        <v>0</v>
      </c>
      <c r="BM37" s="225">
        <f t="shared" si="8"/>
        <v>367.77000000000021</v>
      </c>
      <c r="BN37" s="225">
        <f t="shared" si="30"/>
        <v>7601.4215789473692</v>
      </c>
      <c r="BO37" s="225">
        <f t="shared" si="9"/>
        <v>0</v>
      </c>
      <c r="BP37" s="225"/>
      <c r="BQ37" s="225"/>
      <c r="BR37" s="225"/>
      <c r="BS37" s="225"/>
      <c r="BT37" s="225"/>
      <c r="BU37" s="225"/>
      <c r="BV37" s="225"/>
      <c r="BW37" s="225"/>
      <c r="BY37" s="176"/>
      <c r="BZ37" s="176"/>
      <c r="CA37" s="176"/>
      <c r="CB37" s="176"/>
      <c r="CC37" s="176"/>
      <c r="CD37" s="176"/>
      <c r="CE37" s="176"/>
      <c r="CF37" s="176"/>
      <c r="CH37" s="248"/>
      <c r="CI37" s="248"/>
      <c r="CJ37" s="248"/>
      <c r="CK37" s="248"/>
      <c r="CL37" s="248"/>
      <c r="CM37" s="248"/>
      <c r="CN37" s="248"/>
      <c r="CO37" s="248"/>
      <c r="CQ37" s="248"/>
      <c r="CR37" s="248"/>
      <c r="CS37" s="248"/>
      <c r="CT37" s="248"/>
      <c r="CU37" s="248"/>
      <c r="CV37" s="248"/>
      <c r="CW37" s="248"/>
      <c r="CX37" s="248"/>
      <c r="CY37" s="248"/>
      <c r="DA37" s="248"/>
      <c r="DB37" s="248"/>
      <c r="DC37" s="248"/>
      <c r="DD37" s="248"/>
      <c r="DE37" s="248"/>
      <c r="DF37" s="248"/>
      <c r="DG37" s="248"/>
      <c r="DH37" s="248"/>
      <c r="DJ37" s="179" t="e">
        <f>#REF!+((SUMIFS($F37:$AM37,$F$3:$AM$3,$DJ$7)*80%))+SUMIFS(#REF!,#REF!,$DJ$7)</f>
        <v>#REF!</v>
      </c>
      <c r="DK37" s="179">
        <f t="shared" si="10"/>
        <v>0</v>
      </c>
      <c r="DL37" s="173" t="e">
        <f t="shared" si="31"/>
        <v>#REF!</v>
      </c>
    </row>
    <row r="38" spans="1:116">
      <c r="A38" s="168">
        <v>2295</v>
      </c>
      <c r="B38" s="2">
        <v>139465</v>
      </c>
      <c r="C38" s="2" t="s">
        <v>242</v>
      </c>
      <c r="D38" s="30"/>
      <c r="E38" s="226"/>
      <c r="F38" s="176">
        <v>0</v>
      </c>
      <c r="G38" s="176">
        <v>0</v>
      </c>
      <c r="H38" s="176">
        <v>0</v>
      </c>
      <c r="I38" s="176">
        <v>0</v>
      </c>
      <c r="J38" s="176">
        <v>0</v>
      </c>
      <c r="K38" s="176">
        <v>0</v>
      </c>
      <c r="L38" s="30">
        <f t="shared" si="11"/>
        <v>0</v>
      </c>
      <c r="M38" s="176">
        <f t="shared" si="12"/>
        <v>0</v>
      </c>
      <c r="N38" s="226"/>
      <c r="O38" s="176">
        <v>0</v>
      </c>
      <c r="P38" s="176">
        <v>0</v>
      </c>
      <c r="Q38" s="176">
        <v>0</v>
      </c>
      <c r="R38" s="176">
        <v>0</v>
      </c>
      <c r="S38" s="176">
        <v>0</v>
      </c>
      <c r="T38" s="176">
        <v>0</v>
      </c>
      <c r="U38" s="176">
        <f t="shared" si="13"/>
        <v>0</v>
      </c>
      <c r="V38" s="176">
        <f t="shared" si="14"/>
        <v>0</v>
      </c>
      <c r="W38" s="226"/>
      <c r="X38" s="247"/>
      <c r="Y38" s="176">
        <v>0</v>
      </c>
      <c r="Z38" s="176">
        <v>0</v>
      </c>
      <c r="AA38" s="176">
        <v>0</v>
      </c>
      <c r="AB38" s="176">
        <v>0</v>
      </c>
      <c r="AC38" s="176">
        <v>0</v>
      </c>
      <c r="AD38" s="176">
        <f t="shared" si="15"/>
        <v>0</v>
      </c>
      <c r="AE38" s="247">
        <f t="shared" si="16"/>
        <v>0</v>
      </c>
      <c r="AF38" s="226"/>
      <c r="AG38" s="247">
        <v>0</v>
      </c>
      <c r="AH38" s="247">
        <v>0</v>
      </c>
      <c r="AI38" s="247">
        <v>0</v>
      </c>
      <c r="AJ38" s="226"/>
      <c r="AK38" s="247">
        <f t="shared" si="17"/>
        <v>0</v>
      </c>
      <c r="AL38" s="247">
        <f t="shared" si="18"/>
        <v>0</v>
      </c>
      <c r="AM38" s="247">
        <f t="shared" si="19"/>
        <v>0</v>
      </c>
      <c r="AN38" s="225"/>
      <c r="AO38" s="225">
        <v>0</v>
      </c>
      <c r="AP38" s="225">
        <v>0</v>
      </c>
      <c r="AQ38" s="225">
        <v>0</v>
      </c>
      <c r="AR38" s="225">
        <v>0</v>
      </c>
      <c r="AS38" s="225">
        <v>0</v>
      </c>
      <c r="AT38" s="225">
        <v>0</v>
      </c>
      <c r="AU38" s="225">
        <v>0</v>
      </c>
      <c r="AV38" s="225">
        <f t="shared" si="20"/>
        <v>0</v>
      </c>
      <c r="AX38" s="225">
        <f t="shared" si="21"/>
        <v>0</v>
      </c>
      <c r="AY38" s="225">
        <f t="shared" si="22"/>
        <v>0</v>
      </c>
      <c r="AZ38" s="225">
        <f t="shared" si="23"/>
        <v>0</v>
      </c>
      <c r="BA38" s="225">
        <f t="shared" si="24"/>
        <v>0</v>
      </c>
      <c r="BB38" s="225">
        <f t="shared" si="25"/>
        <v>0</v>
      </c>
      <c r="BC38" s="225">
        <f t="shared" si="26"/>
        <v>0</v>
      </c>
      <c r="BD38" s="225">
        <f t="shared" si="27"/>
        <v>0</v>
      </c>
      <c r="BE38" s="225">
        <f t="shared" si="28"/>
        <v>0</v>
      </c>
      <c r="BF38" s="225">
        <f t="shared" si="29"/>
        <v>0</v>
      </c>
      <c r="BG38" s="225">
        <f t="shared" si="2"/>
        <v>0</v>
      </c>
      <c r="BH38" s="225">
        <f t="shared" si="3"/>
        <v>0</v>
      </c>
      <c r="BI38" s="225">
        <f t="shared" si="4"/>
        <v>0</v>
      </c>
      <c r="BJ38" s="225">
        <f t="shared" si="5"/>
        <v>0</v>
      </c>
      <c r="BK38" s="225">
        <f t="shared" si="6"/>
        <v>0</v>
      </c>
      <c r="BL38" s="225">
        <f t="shared" si="7"/>
        <v>0</v>
      </c>
      <c r="BM38" s="225">
        <f t="shared" si="8"/>
        <v>0</v>
      </c>
      <c r="BN38" s="225">
        <f t="shared" si="30"/>
        <v>0</v>
      </c>
      <c r="BO38" s="225">
        <f t="shared" si="9"/>
        <v>0</v>
      </c>
      <c r="BP38" s="225"/>
      <c r="BQ38" s="225"/>
      <c r="BR38" s="225"/>
      <c r="BS38" s="225"/>
      <c r="BT38" s="225"/>
      <c r="BU38" s="225"/>
      <c r="BV38" s="225"/>
      <c r="BW38" s="225"/>
      <c r="BY38" s="176"/>
      <c r="BZ38" s="176"/>
      <c r="CA38" s="176"/>
      <c r="CB38" s="176"/>
      <c r="CC38" s="176"/>
      <c r="CD38" s="176"/>
      <c r="CE38" s="176"/>
      <c r="CF38" s="176"/>
      <c r="CH38" s="248"/>
      <c r="CI38" s="248"/>
      <c r="CJ38" s="248"/>
      <c r="CK38" s="248"/>
      <c r="CL38" s="248"/>
      <c r="CM38" s="248"/>
      <c r="CN38" s="248"/>
      <c r="CO38" s="248"/>
      <c r="CQ38" s="248"/>
      <c r="CR38" s="248"/>
      <c r="CS38" s="248"/>
      <c r="CT38" s="248"/>
      <c r="CU38" s="248"/>
      <c r="CV38" s="248"/>
      <c r="CW38" s="248"/>
      <c r="CX38" s="248"/>
      <c r="CY38" s="248"/>
      <c r="DA38" s="248"/>
      <c r="DB38" s="248"/>
      <c r="DC38" s="248"/>
      <c r="DD38" s="248"/>
      <c r="DE38" s="248"/>
      <c r="DF38" s="248"/>
      <c r="DG38" s="248"/>
      <c r="DH38" s="248"/>
      <c r="DJ38" s="179" t="e">
        <f>#REF!+((SUMIFS($F38:$AM38,$F$3:$AM$3,$DJ$7)*80%))+SUMIFS(#REF!,#REF!,$DJ$7)</f>
        <v>#REF!</v>
      </c>
      <c r="DK38" s="179">
        <f t="shared" si="10"/>
        <v>0</v>
      </c>
      <c r="DL38" s="173" t="e">
        <f t="shared" si="31"/>
        <v>#REF!</v>
      </c>
    </row>
    <row r="39" spans="1:116">
      <c r="A39" s="168">
        <v>2152</v>
      </c>
      <c r="B39" s="2">
        <v>141320</v>
      </c>
      <c r="C39" s="2" t="s">
        <v>243</v>
      </c>
      <c r="D39" s="30"/>
      <c r="E39" s="226"/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30">
        <f t="shared" si="11"/>
        <v>0</v>
      </c>
      <c r="M39" s="176">
        <f t="shared" si="12"/>
        <v>0</v>
      </c>
      <c r="N39" s="226"/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6">
        <v>0</v>
      </c>
      <c r="U39" s="176">
        <f t="shared" si="13"/>
        <v>0</v>
      </c>
      <c r="V39" s="176">
        <f t="shared" si="14"/>
        <v>0</v>
      </c>
      <c r="W39" s="226"/>
      <c r="X39" s="247"/>
      <c r="Y39" s="176">
        <v>0</v>
      </c>
      <c r="Z39" s="176">
        <v>0</v>
      </c>
      <c r="AA39" s="176">
        <v>0</v>
      </c>
      <c r="AB39" s="176">
        <v>0</v>
      </c>
      <c r="AC39" s="176">
        <v>0</v>
      </c>
      <c r="AD39" s="176">
        <f t="shared" si="15"/>
        <v>0</v>
      </c>
      <c r="AE39" s="247">
        <f t="shared" si="16"/>
        <v>0</v>
      </c>
      <c r="AF39" s="226"/>
      <c r="AG39" s="247">
        <v>0</v>
      </c>
      <c r="AH39" s="247">
        <v>0</v>
      </c>
      <c r="AI39" s="247">
        <v>0</v>
      </c>
      <c r="AJ39" s="226"/>
      <c r="AK39" s="247">
        <f t="shared" si="17"/>
        <v>0</v>
      </c>
      <c r="AL39" s="247">
        <f t="shared" si="18"/>
        <v>0</v>
      </c>
      <c r="AM39" s="247">
        <f t="shared" si="19"/>
        <v>0</v>
      </c>
      <c r="AN39" s="225"/>
      <c r="AO39" s="225">
        <v>0</v>
      </c>
      <c r="AP39" s="225">
        <v>0</v>
      </c>
      <c r="AQ39" s="225">
        <v>0</v>
      </c>
      <c r="AR39" s="225">
        <v>0</v>
      </c>
      <c r="AS39" s="225">
        <v>0</v>
      </c>
      <c r="AT39" s="225">
        <v>0</v>
      </c>
      <c r="AU39" s="225">
        <v>0</v>
      </c>
      <c r="AV39" s="225">
        <f t="shared" si="20"/>
        <v>0</v>
      </c>
      <c r="AX39" s="225">
        <f t="shared" si="21"/>
        <v>0</v>
      </c>
      <c r="AY39" s="225">
        <f t="shared" si="22"/>
        <v>0</v>
      </c>
      <c r="AZ39" s="225">
        <f t="shared" si="23"/>
        <v>0</v>
      </c>
      <c r="BA39" s="225">
        <f t="shared" si="24"/>
        <v>0</v>
      </c>
      <c r="BB39" s="225">
        <f t="shared" si="25"/>
        <v>0</v>
      </c>
      <c r="BC39" s="225">
        <f t="shared" si="26"/>
        <v>0</v>
      </c>
      <c r="BD39" s="225">
        <f t="shared" si="27"/>
        <v>0</v>
      </c>
      <c r="BE39" s="225">
        <f t="shared" si="28"/>
        <v>0</v>
      </c>
      <c r="BF39" s="225">
        <f t="shared" si="29"/>
        <v>0</v>
      </c>
      <c r="BG39" s="225">
        <f t="shared" si="2"/>
        <v>0</v>
      </c>
      <c r="BH39" s="225">
        <f t="shared" si="3"/>
        <v>0</v>
      </c>
      <c r="BI39" s="225">
        <f t="shared" si="4"/>
        <v>0</v>
      </c>
      <c r="BJ39" s="225">
        <f t="shared" si="5"/>
        <v>0</v>
      </c>
      <c r="BK39" s="225">
        <f t="shared" si="6"/>
        <v>0</v>
      </c>
      <c r="BL39" s="225">
        <f t="shared" si="7"/>
        <v>0</v>
      </c>
      <c r="BM39" s="225">
        <f t="shared" si="8"/>
        <v>0</v>
      </c>
      <c r="BN39" s="225">
        <f t="shared" si="30"/>
        <v>0</v>
      </c>
      <c r="BO39" s="225">
        <f t="shared" si="9"/>
        <v>0</v>
      </c>
      <c r="BP39" s="225"/>
      <c r="BQ39" s="225"/>
      <c r="BR39" s="225"/>
      <c r="BS39" s="225"/>
      <c r="BT39" s="225"/>
      <c r="BU39" s="225"/>
      <c r="BV39" s="225"/>
      <c r="BW39" s="225"/>
      <c r="BY39" s="176"/>
      <c r="BZ39" s="176"/>
      <c r="CA39" s="176"/>
      <c r="CB39" s="176"/>
      <c r="CC39" s="176"/>
      <c r="CD39" s="176"/>
      <c r="CE39" s="176"/>
      <c r="CF39" s="176"/>
      <c r="CH39" s="248"/>
      <c r="CI39" s="248"/>
      <c r="CJ39" s="248"/>
      <c r="CK39" s="248"/>
      <c r="CL39" s="248"/>
      <c r="CM39" s="248"/>
      <c r="CN39" s="248"/>
      <c r="CO39" s="248"/>
      <c r="CQ39" s="248"/>
      <c r="CR39" s="248"/>
      <c r="CS39" s="248"/>
      <c r="CT39" s="248"/>
      <c r="CU39" s="248"/>
      <c r="CV39" s="248"/>
      <c r="CW39" s="248"/>
      <c r="CX39" s="248"/>
      <c r="CY39" s="248"/>
      <c r="DA39" s="248"/>
      <c r="DB39" s="248"/>
      <c r="DC39" s="248"/>
      <c r="DD39" s="248"/>
      <c r="DE39" s="248"/>
      <c r="DF39" s="248"/>
      <c r="DG39" s="248"/>
      <c r="DH39" s="248"/>
      <c r="DJ39" s="179" t="e">
        <f>#REF!+((SUMIFS($F39:$AM39,$F$3:$AM$3,$DJ$7)*80%))+SUMIFS(#REF!,#REF!,$DJ$7)</f>
        <v>#REF!</v>
      </c>
      <c r="DK39" s="179">
        <f t="shared" si="10"/>
        <v>0</v>
      </c>
      <c r="DL39" s="173" t="e">
        <f t="shared" si="31"/>
        <v>#REF!</v>
      </c>
    </row>
    <row r="40" spans="1:116">
      <c r="A40" s="168">
        <v>7013</v>
      </c>
      <c r="B40" s="2">
        <v>141252</v>
      </c>
      <c r="C40" s="2" t="s">
        <v>244</v>
      </c>
      <c r="D40" s="30"/>
      <c r="E40" s="226"/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30">
        <f t="shared" si="11"/>
        <v>0</v>
      </c>
      <c r="M40" s="176">
        <f t="shared" si="12"/>
        <v>0</v>
      </c>
      <c r="N40" s="226"/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6">
        <v>0</v>
      </c>
      <c r="U40" s="176">
        <f t="shared" si="13"/>
        <v>0</v>
      </c>
      <c r="V40" s="176">
        <f t="shared" si="14"/>
        <v>0</v>
      </c>
      <c r="W40" s="226"/>
      <c r="X40" s="247"/>
      <c r="Y40" s="176">
        <v>0</v>
      </c>
      <c r="Z40" s="176">
        <v>0</v>
      </c>
      <c r="AA40" s="176">
        <v>0</v>
      </c>
      <c r="AB40" s="176">
        <v>0</v>
      </c>
      <c r="AC40" s="176">
        <v>0</v>
      </c>
      <c r="AD40" s="176">
        <f t="shared" si="15"/>
        <v>0</v>
      </c>
      <c r="AE40" s="247">
        <f t="shared" si="16"/>
        <v>0</v>
      </c>
      <c r="AF40" s="226"/>
      <c r="AG40" s="247">
        <v>0</v>
      </c>
      <c r="AH40" s="247">
        <v>0</v>
      </c>
      <c r="AI40" s="247">
        <v>0</v>
      </c>
      <c r="AJ40" s="226"/>
      <c r="AK40" s="247">
        <f t="shared" si="17"/>
        <v>0</v>
      </c>
      <c r="AL40" s="247">
        <f t="shared" si="18"/>
        <v>0</v>
      </c>
      <c r="AM40" s="247">
        <f t="shared" si="19"/>
        <v>0</v>
      </c>
      <c r="AN40" s="225"/>
      <c r="AO40" s="225">
        <v>0</v>
      </c>
      <c r="AP40" s="225">
        <v>0</v>
      </c>
      <c r="AQ40" s="225">
        <v>0</v>
      </c>
      <c r="AR40" s="225">
        <v>0</v>
      </c>
      <c r="AS40" s="225">
        <v>0</v>
      </c>
      <c r="AT40" s="225">
        <v>0</v>
      </c>
      <c r="AU40" s="225">
        <v>0</v>
      </c>
      <c r="AV40" s="225">
        <f t="shared" si="20"/>
        <v>0</v>
      </c>
      <c r="AX40" s="225">
        <f t="shared" si="21"/>
        <v>0</v>
      </c>
      <c r="AY40" s="225">
        <f t="shared" si="22"/>
        <v>0</v>
      </c>
      <c r="AZ40" s="225">
        <f t="shared" si="23"/>
        <v>0</v>
      </c>
      <c r="BA40" s="225">
        <f t="shared" si="24"/>
        <v>0</v>
      </c>
      <c r="BB40" s="225">
        <f t="shared" si="25"/>
        <v>0</v>
      </c>
      <c r="BC40" s="225">
        <f t="shared" si="26"/>
        <v>0</v>
      </c>
      <c r="BD40" s="225">
        <f t="shared" si="27"/>
        <v>0</v>
      </c>
      <c r="BE40" s="225">
        <f t="shared" si="28"/>
        <v>0</v>
      </c>
      <c r="BF40" s="225">
        <f t="shared" si="29"/>
        <v>0</v>
      </c>
      <c r="BG40" s="225">
        <f t="shared" si="2"/>
        <v>0</v>
      </c>
      <c r="BH40" s="225">
        <f t="shared" si="3"/>
        <v>0</v>
      </c>
      <c r="BI40" s="225">
        <f t="shared" si="4"/>
        <v>0</v>
      </c>
      <c r="BJ40" s="225">
        <f t="shared" si="5"/>
        <v>0</v>
      </c>
      <c r="BK40" s="225">
        <f t="shared" si="6"/>
        <v>0</v>
      </c>
      <c r="BL40" s="225">
        <f t="shared" si="7"/>
        <v>0</v>
      </c>
      <c r="BM40" s="225">
        <f t="shared" si="8"/>
        <v>0</v>
      </c>
      <c r="BN40" s="225">
        <f t="shared" si="30"/>
        <v>0</v>
      </c>
      <c r="BO40" s="225">
        <f t="shared" si="9"/>
        <v>0</v>
      </c>
      <c r="BP40" s="225"/>
      <c r="BQ40" s="225"/>
      <c r="BR40" s="225"/>
      <c r="BS40" s="225"/>
      <c r="BT40" s="225"/>
      <c r="BU40" s="225"/>
      <c r="BV40" s="225"/>
      <c r="BW40" s="225"/>
      <c r="BY40" s="176"/>
      <c r="BZ40" s="176"/>
      <c r="CA40" s="176"/>
      <c r="CB40" s="176"/>
      <c r="CC40" s="176"/>
      <c r="CD40" s="176"/>
      <c r="CE40" s="176"/>
      <c r="CF40" s="176"/>
      <c r="CH40" s="248"/>
      <c r="CI40" s="248"/>
      <c r="CJ40" s="248"/>
      <c r="CK40" s="248"/>
      <c r="CL40" s="248"/>
      <c r="CM40" s="248"/>
      <c r="CN40" s="248"/>
      <c r="CO40" s="248"/>
      <c r="CQ40" s="248"/>
      <c r="CR40" s="248"/>
      <c r="CS40" s="248"/>
      <c r="CT40" s="248"/>
      <c r="CU40" s="248"/>
      <c r="CV40" s="248"/>
      <c r="CW40" s="248"/>
      <c r="CX40" s="248"/>
      <c r="CY40" s="248"/>
      <c r="DA40" s="248"/>
      <c r="DB40" s="248"/>
      <c r="DC40" s="248"/>
      <c r="DD40" s="248"/>
      <c r="DE40" s="248"/>
      <c r="DF40" s="248"/>
      <c r="DG40" s="248"/>
      <c r="DH40" s="248"/>
      <c r="DJ40" s="179" t="e">
        <f>#REF!+((SUMIFS($F40:$AM40,$F$3:$AM$3,$DJ$7)*80%))+SUMIFS(#REF!,#REF!,$DJ$7)</f>
        <v>#REF!</v>
      </c>
      <c r="DK40" s="179">
        <f t="shared" ref="DK40:DK71" si="32">(SUMIFS($F40:$AM40,$F$3:$AM$3,$DK$7)*80%)</f>
        <v>0</v>
      </c>
      <c r="DL40" s="173" t="e">
        <f t="shared" si="31"/>
        <v>#REF!</v>
      </c>
    </row>
    <row r="41" spans="1:116">
      <c r="A41" s="168">
        <v>2039</v>
      </c>
      <c r="B41" s="2">
        <v>143942</v>
      </c>
      <c r="C41" s="2" t="s">
        <v>245</v>
      </c>
      <c r="D41" s="30"/>
      <c r="E41" s="226"/>
      <c r="F41" s="176">
        <v>0</v>
      </c>
      <c r="G41" s="176">
        <v>0</v>
      </c>
      <c r="H41" s="176">
        <v>47459.1</v>
      </c>
      <c r="I41" s="176">
        <v>2535</v>
      </c>
      <c r="J41" s="176">
        <v>0</v>
      </c>
      <c r="K41" s="176">
        <v>0</v>
      </c>
      <c r="L41" s="30">
        <f t="shared" si="11"/>
        <v>49994.1</v>
      </c>
      <c r="M41" s="176">
        <f t="shared" si="12"/>
        <v>39995.279999999999</v>
      </c>
      <c r="N41" s="226"/>
      <c r="O41" s="176">
        <v>0</v>
      </c>
      <c r="P41" s="176">
        <v>0</v>
      </c>
      <c r="Q41" s="176">
        <v>51873.9</v>
      </c>
      <c r="R41" s="176">
        <v>1365</v>
      </c>
      <c r="S41" s="176">
        <v>522.0526315789474</v>
      </c>
      <c r="T41" s="176">
        <v>0</v>
      </c>
      <c r="U41" s="176">
        <f t="shared" si="13"/>
        <v>53760.952631578948</v>
      </c>
      <c r="V41" s="176">
        <f t="shared" si="14"/>
        <v>43008.762105263158</v>
      </c>
      <c r="W41" s="226"/>
      <c r="X41" s="247"/>
      <c r="Y41" s="176">
        <v>0</v>
      </c>
      <c r="Z41" s="176">
        <v>44076.505263157895</v>
      </c>
      <c r="AA41" s="176">
        <v>2046.3157894736842</v>
      </c>
      <c r="AB41" s="176">
        <v>500.01108033240996</v>
      </c>
      <c r="AC41" s="176">
        <v>0</v>
      </c>
      <c r="AD41" s="176">
        <f t="shared" si="15"/>
        <v>46622.832132963995</v>
      </c>
      <c r="AE41" s="247">
        <f t="shared" si="16"/>
        <v>37298.265706371196</v>
      </c>
      <c r="AF41" s="226"/>
      <c r="AG41" s="247">
        <v>553.79999999999995</v>
      </c>
      <c r="AH41" s="247">
        <v>581.1</v>
      </c>
      <c r="AI41" s="247">
        <v>510.44210526315788</v>
      </c>
      <c r="AJ41" s="226"/>
      <c r="AK41" s="247">
        <f t="shared" si="17"/>
        <v>443.03999999999996</v>
      </c>
      <c r="AL41" s="247">
        <f t="shared" si="18"/>
        <v>464.88000000000005</v>
      </c>
      <c r="AM41" s="247">
        <f t="shared" si="19"/>
        <v>408.35368421052635</v>
      </c>
      <c r="AN41" s="225"/>
      <c r="AO41" s="225">
        <v>0</v>
      </c>
      <c r="AP41" s="225">
        <v>0</v>
      </c>
      <c r="AQ41" s="225">
        <v>50770.200000000004</v>
      </c>
      <c r="AR41" s="225">
        <v>2535</v>
      </c>
      <c r="AS41" s="225">
        <v>969.52631578947376</v>
      </c>
      <c r="AT41" s="225">
        <v>0</v>
      </c>
      <c r="AU41" s="225">
        <v>534.29999999999995</v>
      </c>
      <c r="AV41" s="225">
        <f t="shared" si="20"/>
        <v>54809.026315789481</v>
      </c>
      <c r="AX41" s="225">
        <f t="shared" si="21"/>
        <v>0</v>
      </c>
      <c r="AY41" s="225">
        <f t="shared" si="22"/>
        <v>0</v>
      </c>
      <c r="AZ41" s="225">
        <f t="shared" si="23"/>
        <v>3311.1000000000058</v>
      </c>
      <c r="BA41" s="225">
        <f t="shared" si="24"/>
        <v>0</v>
      </c>
      <c r="BB41" s="225">
        <f t="shared" si="25"/>
        <v>969.52631578947376</v>
      </c>
      <c r="BC41" s="225">
        <f t="shared" si="26"/>
        <v>0</v>
      </c>
      <c r="BD41" s="225">
        <f t="shared" si="27"/>
        <v>-19.5</v>
      </c>
      <c r="BE41" s="225">
        <f t="shared" si="28"/>
        <v>4261.1263157894791</v>
      </c>
      <c r="BF41" s="225">
        <f t="shared" si="29"/>
        <v>0</v>
      </c>
      <c r="BG41" s="225">
        <f t="shared" si="2"/>
        <v>0</v>
      </c>
      <c r="BH41" s="225">
        <f t="shared" si="3"/>
        <v>0</v>
      </c>
      <c r="BI41" s="225">
        <f t="shared" si="4"/>
        <v>12802.920000000006</v>
      </c>
      <c r="BJ41" s="225">
        <f t="shared" si="5"/>
        <v>507</v>
      </c>
      <c r="BK41" s="225">
        <f t="shared" si="6"/>
        <v>969.52631578947376</v>
      </c>
      <c r="BL41" s="225">
        <f t="shared" si="7"/>
        <v>0</v>
      </c>
      <c r="BM41" s="225">
        <f t="shared" si="8"/>
        <v>91.259999999999991</v>
      </c>
      <c r="BN41" s="225">
        <f t="shared" si="30"/>
        <v>14370.706315789479</v>
      </c>
      <c r="BO41" s="225">
        <f t="shared" si="9"/>
        <v>0</v>
      </c>
      <c r="BP41" s="225"/>
      <c r="BQ41" s="225"/>
      <c r="BR41" s="225"/>
      <c r="BS41" s="225"/>
      <c r="BT41" s="225"/>
      <c r="BU41" s="225"/>
      <c r="BV41" s="225"/>
      <c r="BW41" s="225"/>
      <c r="BY41" s="176"/>
      <c r="BZ41" s="176"/>
      <c r="CA41" s="176"/>
      <c r="CB41" s="176"/>
      <c r="CC41" s="176"/>
      <c r="CD41" s="176"/>
      <c r="CE41" s="176"/>
      <c r="CF41" s="176"/>
      <c r="CH41" s="248"/>
      <c r="CI41" s="248"/>
      <c r="CJ41" s="248"/>
      <c r="CK41" s="248"/>
      <c r="CL41" s="248"/>
      <c r="CM41" s="248"/>
      <c r="CN41" s="248"/>
      <c r="CO41" s="248"/>
      <c r="CQ41" s="248"/>
      <c r="CR41" s="248"/>
      <c r="CS41" s="248"/>
      <c r="CT41" s="248"/>
      <c r="CU41" s="248"/>
      <c r="CV41" s="248"/>
      <c r="CW41" s="248"/>
      <c r="CX41" s="248"/>
      <c r="CY41" s="248"/>
      <c r="DA41" s="248"/>
      <c r="DB41" s="248"/>
      <c r="DC41" s="248"/>
      <c r="DD41" s="248"/>
      <c r="DE41" s="248"/>
      <c r="DF41" s="248"/>
      <c r="DG41" s="248"/>
      <c r="DH41" s="248"/>
      <c r="DJ41" s="179" t="e">
        <f>#REF!+((SUMIFS($F41:$AM41,$F$3:$AM$3,$DJ$7)*80%))+SUMIFS(#REF!,#REF!,$DJ$7)</f>
        <v>#REF!</v>
      </c>
      <c r="DK41" s="179">
        <f t="shared" si="32"/>
        <v>0</v>
      </c>
      <c r="DL41" s="173" t="e">
        <f t="shared" si="31"/>
        <v>#REF!</v>
      </c>
    </row>
    <row r="42" spans="1:116">
      <c r="A42" s="168">
        <v>2226</v>
      </c>
      <c r="B42" s="2">
        <v>143088</v>
      </c>
      <c r="C42" s="2" t="s">
        <v>246</v>
      </c>
      <c r="D42" s="30"/>
      <c r="E42" s="226"/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30">
        <f t="shared" si="11"/>
        <v>0</v>
      </c>
      <c r="M42" s="176">
        <f t="shared" si="12"/>
        <v>0</v>
      </c>
      <c r="N42" s="226"/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  <c r="U42" s="176">
        <f t="shared" si="13"/>
        <v>0</v>
      </c>
      <c r="V42" s="176">
        <f t="shared" si="14"/>
        <v>0</v>
      </c>
      <c r="W42" s="226"/>
      <c r="X42" s="247"/>
      <c r="Y42" s="176">
        <v>0</v>
      </c>
      <c r="Z42" s="176">
        <v>0</v>
      </c>
      <c r="AA42" s="176">
        <v>0</v>
      </c>
      <c r="AB42" s="176">
        <v>0</v>
      </c>
      <c r="AC42" s="176">
        <v>0</v>
      </c>
      <c r="AD42" s="176">
        <f t="shared" si="15"/>
        <v>0</v>
      </c>
      <c r="AE42" s="247">
        <f t="shared" si="16"/>
        <v>0</v>
      </c>
      <c r="AF42" s="226"/>
      <c r="AG42" s="247">
        <v>0</v>
      </c>
      <c r="AH42" s="247">
        <v>0</v>
      </c>
      <c r="AI42" s="247">
        <v>0</v>
      </c>
      <c r="AJ42" s="226"/>
      <c r="AK42" s="247">
        <f t="shared" si="17"/>
        <v>0</v>
      </c>
      <c r="AL42" s="247">
        <f t="shared" si="18"/>
        <v>0</v>
      </c>
      <c r="AM42" s="247">
        <f t="shared" si="19"/>
        <v>0</v>
      </c>
      <c r="AN42" s="225"/>
      <c r="AO42" s="225">
        <v>0</v>
      </c>
      <c r="AP42" s="225">
        <v>0</v>
      </c>
      <c r="AQ42" s="225">
        <v>0</v>
      </c>
      <c r="AR42" s="225">
        <v>0</v>
      </c>
      <c r="AS42" s="225">
        <v>0</v>
      </c>
      <c r="AT42" s="225">
        <v>0</v>
      </c>
      <c r="AU42" s="225">
        <v>0</v>
      </c>
      <c r="AV42" s="225">
        <f t="shared" si="20"/>
        <v>0</v>
      </c>
      <c r="AX42" s="225">
        <f t="shared" si="21"/>
        <v>0</v>
      </c>
      <c r="AY42" s="225">
        <f t="shared" si="22"/>
        <v>0</v>
      </c>
      <c r="AZ42" s="225">
        <f t="shared" si="23"/>
        <v>0</v>
      </c>
      <c r="BA42" s="225">
        <f t="shared" si="24"/>
        <v>0</v>
      </c>
      <c r="BB42" s="225">
        <f t="shared" si="25"/>
        <v>0</v>
      </c>
      <c r="BC42" s="225">
        <f t="shared" si="26"/>
        <v>0</v>
      </c>
      <c r="BD42" s="225">
        <f t="shared" si="27"/>
        <v>0</v>
      </c>
      <c r="BE42" s="225">
        <f t="shared" si="28"/>
        <v>0</v>
      </c>
      <c r="BF42" s="225">
        <f t="shared" si="29"/>
        <v>0</v>
      </c>
      <c r="BG42" s="225">
        <f t="shared" si="2"/>
        <v>0</v>
      </c>
      <c r="BH42" s="225">
        <f t="shared" si="3"/>
        <v>0</v>
      </c>
      <c r="BI42" s="225">
        <f t="shared" si="4"/>
        <v>0</v>
      </c>
      <c r="BJ42" s="225">
        <f t="shared" si="5"/>
        <v>0</v>
      </c>
      <c r="BK42" s="225">
        <f t="shared" si="6"/>
        <v>0</v>
      </c>
      <c r="BL42" s="225">
        <f t="shared" si="7"/>
        <v>0</v>
      </c>
      <c r="BM42" s="225">
        <f t="shared" si="8"/>
        <v>0</v>
      </c>
      <c r="BN42" s="225">
        <f t="shared" si="30"/>
        <v>0</v>
      </c>
      <c r="BO42" s="225">
        <f t="shared" si="9"/>
        <v>0</v>
      </c>
      <c r="BP42" s="225"/>
      <c r="BQ42" s="225"/>
      <c r="BR42" s="225"/>
      <c r="BS42" s="225"/>
      <c r="BT42" s="225"/>
      <c r="BU42" s="225"/>
      <c r="BV42" s="225"/>
      <c r="BW42" s="225"/>
      <c r="BY42" s="176"/>
      <c r="BZ42" s="176"/>
      <c r="CA42" s="176"/>
      <c r="CB42" s="176"/>
      <c r="CC42" s="176"/>
      <c r="CD42" s="176"/>
      <c r="CE42" s="176"/>
      <c r="CF42" s="176"/>
      <c r="CH42" s="248"/>
      <c r="CI42" s="248"/>
      <c r="CJ42" s="248"/>
      <c r="CK42" s="248"/>
      <c r="CL42" s="248"/>
      <c r="CM42" s="248"/>
      <c r="CN42" s="248"/>
      <c r="CO42" s="248"/>
      <c r="CQ42" s="248"/>
      <c r="CR42" s="248"/>
      <c r="CS42" s="248"/>
      <c r="CT42" s="248"/>
      <c r="CU42" s="248"/>
      <c r="CV42" s="248"/>
      <c r="CW42" s="248"/>
      <c r="CX42" s="248"/>
      <c r="CY42" s="248"/>
      <c r="DA42" s="248"/>
      <c r="DB42" s="248"/>
      <c r="DC42" s="248"/>
      <c r="DD42" s="248"/>
      <c r="DE42" s="248"/>
      <c r="DF42" s="248"/>
      <c r="DG42" s="248"/>
      <c r="DH42" s="248"/>
      <c r="DJ42" s="179" t="e">
        <f>#REF!+((SUMIFS($F42:$AM42,$F$3:$AM$3,$DJ$7)*80%))+SUMIFS(#REF!,#REF!,$DJ$7)</f>
        <v>#REF!</v>
      </c>
      <c r="DK42" s="179">
        <f t="shared" si="32"/>
        <v>0</v>
      </c>
      <c r="DL42" s="173" t="e">
        <f t="shared" si="31"/>
        <v>#REF!</v>
      </c>
    </row>
    <row r="43" spans="1:116">
      <c r="A43" s="168">
        <v>2170</v>
      </c>
      <c r="B43" s="2">
        <v>143908</v>
      </c>
      <c r="C43" s="2" t="s">
        <v>247</v>
      </c>
      <c r="D43" s="30"/>
      <c r="E43" s="226"/>
      <c r="F43" s="176">
        <v>0</v>
      </c>
      <c r="G43" s="176">
        <v>16594.5</v>
      </c>
      <c r="H43" s="176">
        <v>57392.4</v>
      </c>
      <c r="I43" s="176">
        <v>0</v>
      </c>
      <c r="J43" s="176">
        <v>0</v>
      </c>
      <c r="K43" s="176">
        <v>0</v>
      </c>
      <c r="L43" s="30">
        <f t="shared" si="11"/>
        <v>73986.899999999994</v>
      </c>
      <c r="M43" s="176">
        <f t="shared" si="12"/>
        <v>59189.52</v>
      </c>
      <c r="N43" s="226"/>
      <c r="O43" s="176">
        <v>0</v>
      </c>
      <c r="P43" s="176">
        <v>26551.200000000001</v>
      </c>
      <c r="Q43" s="176">
        <v>33111</v>
      </c>
      <c r="R43" s="176">
        <v>3120</v>
      </c>
      <c r="S43" s="176">
        <v>745.78947368421052</v>
      </c>
      <c r="T43" s="176">
        <v>0</v>
      </c>
      <c r="U43" s="176">
        <f t="shared" si="13"/>
        <v>63527.989473684211</v>
      </c>
      <c r="V43" s="176">
        <f t="shared" si="14"/>
        <v>50822.391578947369</v>
      </c>
      <c r="W43" s="226"/>
      <c r="X43" s="247"/>
      <c r="Y43" s="176">
        <v>19349.052631578947</v>
      </c>
      <c r="Z43" s="176">
        <v>42146.14736842105</v>
      </c>
      <c r="AA43" s="176">
        <v>2103.1578947368421</v>
      </c>
      <c r="AB43" s="176">
        <v>673.92797783933509</v>
      </c>
      <c r="AC43" s="176">
        <v>0</v>
      </c>
      <c r="AD43" s="176">
        <f t="shared" si="15"/>
        <v>64272.285872576169</v>
      </c>
      <c r="AE43" s="247">
        <f t="shared" si="16"/>
        <v>51417.828698060941</v>
      </c>
      <c r="AF43" s="226"/>
      <c r="AG43" s="247">
        <v>4104.75</v>
      </c>
      <c r="AH43" s="247">
        <v>3028.35</v>
      </c>
      <c r="AI43" s="247">
        <v>2993.8736842105263</v>
      </c>
      <c r="AJ43" s="226"/>
      <c r="AK43" s="247">
        <f t="shared" si="17"/>
        <v>3283.8</v>
      </c>
      <c r="AL43" s="247">
        <f t="shared" si="18"/>
        <v>2422.6799999999998</v>
      </c>
      <c r="AM43" s="247">
        <f t="shared" si="19"/>
        <v>2395.0989473684212</v>
      </c>
      <c r="AN43" s="225"/>
      <c r="AO43" s="225">
        <v>0</v>
      </c>
      <c r="AP43" s="225">
        <v>16594.5</v>
      </c>
      <c r="AQ43" s="225">
        <v>51873.9</v>
      </c>
      <c r="AR43" s="225">
        <v>7410</v>
      </c>
      <c r="AS43" s="225">
        <v>1864.4736842105265</v>
      </c>
      <c r="AT43" s="225">
        <v>0</v>
      </c>
      <c r="AU43" s="225">
        <v>3110.2499999999995</v>
      </c>
      <c r="AV43" s="225">
        <f t="shared" si="20"/>
        <v>80853.123684210514</v>
      </c>
      <c r="AX43" s="225">
        <f t="shared" si="21"/>
        <v>0</v>
      </c>
      <c r="AY43" s="225">
        <f t="shared" si="22"/>
        <v>0</v>
      </c>
      <c r="AZ43" s="225">
        <f t="shared" si="23"/>
        <v>-5518.5</v>
      </c>
      <c r="BA43" s="225">
        <f t="shared" si="24"/>
        <v>7410</v>
      </c>
      <c r="BB43" s="225">
        <f t="shared" si="25"/>
        <v>1864.4736842105265</v>
      </c>
      <c r="BC43" s="225">
        <f t="shared" si="26"/>
        <v>0</v>
      </c>
      <c r="BD43" s="225">
        <f t="shared" si="27"/>
        <v>-994.50000000000045</v>
      </c>
      <c r="BE43" s="225">
        <f t="shared" si="28"/>
        <v>2761.4736842105262</v>
      </c>
      <c r="BF43" s="225">
        <f t="shared" si="29"/>
        <v>0</v>
      </c>
      <c r="BG43" s="225">
        <f t="shared" si="2"/>
        <v>0</v>
      </c>
      <c r="BH43" s="225">
        <f t="shared" si="3"/>
        <v>3318.8999999999996</v>
      </c>
      <c r="BI43" s="225">
        <f t="shared" si="4"/>
        <v>5959.9799999999959</v>
      </c>
      <c r="BJ43" s="225">
        <f t="shared" si="5"/>
        <v>7410</v>
      </c>
      <c r="BK43" s="225">
        <f t="shared" si="6"/>
        <v>1864.4736842105265</v>
      </c>
      <c r="BL43" s="225">
        <f t="shared" si="7"/>
        <v>0</v>
      </c>
      <c r="BM43" s="225">
        <f t="shared" si="8"/>
        <v>-173.55000000000064</v>
      </c>
      <c r="BN43" s="225">
        <f t="shared" si="30"/>
        <v>18379.803684210525</v>
      </c>
      <c r="BO43" s="225">
        <f t="shared" si="9"/>
        <v>0</v>
      </c>
      <c r="BP43" s="225"/>
      <c r="BQ43" s="225"/>
      <c r="BR43" s="225"/>
      <c r="BS43" s="225"/>
      <c r="BT43" s="225"/>
      <c r="BU43" s="225"/>
      <c r="BV43" s="225"/>
      <c r="BW43" s="225"/>
      <c r="BY43" s="176"/>
      <c r="BZ43" s="176"/>
      <c r="CA43" s="176"/>
      <c r="CB43" s="176"/>
      <c r="CC43" s="176"/>
      <c r="CD43" s="176"/>
      <c r="CE43" s="176"/>
      <c r="CF43" s="176"/>
      <c r="CH43" s="248"/>
      <c r="CI43" s="248"/>
      <c r="CJ43" s="248"/>
      <c r="CK43" s="248"/>
      <c r="CL43" s="248"/>
      <c r="CM43" s="248"/>
      <c r="CN43" s="248"/>
      <c r="CO43" s="248"/>
      <c r="CQ43" s="248"/>
      <c r="CR43" s="248"/>
      <c r="CS43" s="248"/>
      <c r="CT43" s="248"/>
      <c r="CU43" s="248"/>
      <c r="CV43" s="248"/>
      <c r="CW43" s="248"/>
      <c r="CX43" s="248"/>
      <c r="CY43" s="248"/>
      <c r="DA43" s="248"/>
      <c r="DB43" s="248"/>
      <c r="DC43" s="248"/>
      <c r="DD43" s="248"/>
      <c r="DE43" s="248"/>
      <c r="DF43" s="248"/>
      <c r="DG43" s="248"/>
      <c r="DH43" s="248"/>
      <c r="DJ43" s="179" t="e">
        <f>#REF!+((SUMIFS($F43:$AM43,$F$3:$AM$3,$DJ$7)*80%))+SUMIFS(#REF!,#REF!,$DJ$7)</f>
        <v>#REF!</v>
      </c>
      <c r="DK43" s="179">
        <f t="shared" si="32"/>
        <v>0</v>
      </c>
      <c r="DL43" s="173" t="e">
        <f t="shared" si="31"/>
        <v>#REF!</v>
      </c>
    </row>
    <row r="44" spans="1:116">
      <c r="A44" s="168">
        <v>2047</v>
      </c>
      <c r="B44" s="2">
        <v>138395</v>
      </c>
      <c r="C44" s="2" t="s">
        <v>248</v>
      </c>
      <c r="D44" s="30"/>
      <c r="E44" s="226"/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0</v>
      </c>
      <c r="L44" s="30">
        <f t="shared" si="11"/>
        <v>0</v>
      </c>
      <c r="M44" s="176">
        <f t="shared" si="12"/>
        <v>0</v>
      </c>
      <c r="N44" s="226"/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76">
        <v>0</v>
      </c>
      <c r="U44" s="176">
        <f t="shared" si="13"/>
        <v>0</v>
      </c>
      <c r="V44" s="176">
        <f t="shared" si="14"/>
        <v>0</v>
      </c>
      <c r="W44" s="226"/>
      <c r="X44" s="247"/>
      <c r="Y44" s="176">
        <v>0</v>
      </c>
      <c r="Z44" s="176">
        <v>0</v>
      </c>
      <c r="AA44" s="176">
        <v>0</v>
      </c>
      <c r="AB44" s="176">
        <v>0</v>
      </c>
      <c r="AC44" s="176">
        <v>0</v>
      </c>
      <c r="AD44" s="176">
        <f t="shared" si="15"/>
        <v>0</v>
      </c>
      <c r="AE44" s="247">
        <f t="shared" si="16"/>
        <v>0</v>
      </c>
      <c r="AF44" s="226"/>
      <c r="AG44" s="247">
        <v>0</v>
      </c>
      <c r="AH44" s="247">
        <v>0</v>
      </c>
      <c r="AI44" s="247">
        <v>0</v>
      </c>
      <c r="AJ44" s="226"/>
      <c r="AK44" s="247">
        <f t="shared" si="17"/>
        <v>0</v>
      </c>
      <c r="AL44" s="247">
        <f t="shared" si="18"/>
        <v>0</v>
      </c>
      <c r="AM44" s="247">
        <f t="shared" si="19"/>
        <v>0</v>
      </c>
      <c r="AN44" s="225"/>
      <c r="AO44" s="225">
        <v>0</v>
      </c>
      <c r="AP44" s="225">
        <v>0</v>
      </c>
      <c r="AQ44" s="225">
        <v>0</v>
      </c>
      <c r="AR44" s="225">
        <v>0</v>
      </c>
      <c r="AS44" s="225">
        <v>0</v>
      </c>
      <c r="AT44" s="225">
        <v>0</v>
      </c>
      <c r="AU44" s="225">
        <v>0</v>
      </c>
      <c r="AV44" s="225">
        <f t="shared" si="20"/>
        <v>0</v>
      </c>
      <c r="AX44" s="225">
        <f t="shared" si="21"/>
        <v>0</v>
      </c>
      <c r="AY44" s="225">
        <f t="shared" si="22"/>
        <v>0</v>
      </c>
      <c r="AZ44" s="225">
        <f t="shared" si="23"/>
        <v>0</v>
      </c>
      <c r="BA44" s="225">
        <f t="shared" si="24"/>
        <v>0</v>
      </c>
      <c r="BB44" s="225">
        <f t="shared" si="25"/>
        <v>0</v>
      </c>
      <c r="BC44" s="225">
        <f t="shared" si="26"/>
        <v>0</v>
      </c>
      <c r="BD44" s="225">
        <f t="shared" si="27"/>
        <v>0</v>
      </c>
      <c r="BE44" s="225">
        <f t="shared" si="28"/>
        <v>0</v>
      </c>
      <c r="BF44" s="225">
        <f t="shared" si="29"/>
        <v>0</v>
      </c>
      <c r="BG44" s="225">
        <f t="shared" si="2"/>
        <v>0</v>
      </c>
      <c r="BH44" s="225">
        <f t="shared" si="3"/>
        <v>0</v>
      </c>
      <c r="BI44" s="225">
        <f t="shared" si="4"/>
        <v>0</v>
      </c>
      <c r="BJ44" s="225">
        <f t="shared" si="5"/>
        <v>0</v>
      </c>
      <c r="BK44" s="225">
        <f t="shared" si="6"/>
        <v>0</v>
      </c>
      <c r="BL44" s="225">
        <f t="shared" si="7"/>
        <v>0</v>
      </c>
      <c r="BM44" s="225">
        <f t="shared" si="8"/>
        <v>0</v>
      </c>
      <c r="BN44" s="225">
        <f t="shared" si="30"/>
        <v>0</v>
      </c>
      <c r="BO44" s="225">
        <f t="shared" si="9"/>
        <v>0</v>
      </c>
      <c r="BP44" s="225"/>
      <c r="BQ44" s="225"/>
      <c r="BR44" s="225"/>
      <c r="BS44" s="225"/>
      <c r="BT44" s="225"/>
      <c r="BU44" s="225"/>
      <c r="BV44" s="225"/>
      <c r="BW44" s="225"/>
      <c r="BY44" s="176"/>
      <c r="BZ44" s="176"/>
      <c r="CA44" s="176"/>
      <c r="CB44" s="176"/>
      <c r="CC44" s="176"/>
      <c r="CD44" s="176"/>
      <c r="CE44" s="176"/>
      <c r="CF44" s="176"/>
      <c r="CH44" s="248"/>
      <c r="CI44" s="248"/>
      <c r="CJ44" s="248"/>
      <c r="CK44" s="248"/>
      <c r="CL44" s="248"/>
      <c r="CM44" s="248"/>
      <c r="CN44" s="248"/>
      <c r="CO44" s="248"/>
      <c r="CQ44" s="248"/>
      <c r="CR44" s="248"/>
      <c r="CS44" s="248"/>
      <c r="CT44" s="248"/>
      <c r="CU44" s="248"/>
      <c r="CV44" s="248"/>
      <c r="CW44" s="248"/>
      <c r="CX44" s="248"/>
      <c r="CY44" s="248"/>
      <c r="DA44" s="248"/>
      <c r="DB44" s="248"/>
      <c r="DC44" s="248"/>
      <c r="DD44" s="248"/>
      <c r="DE44" s="248"/>
      <c r="DF44" s="248"/>
      <c r="DG44" s="248"/>
      <c r="DH44" s="248"/>
      <c r="DJ44" s="179" t="e">
        <f>#REF!+((SUMIFS($F44:$AM44,$F$3:$AM$3,$DJ$7)*80%))+SUMIFS(#REF!,#REF!,$DJ$7)</f>
        <v>#REF!</v>
      </c>
      <c r="DK44" s="179">
        <f t="shared" si="32"/>
        <v>0</v>
      </c>
      <c r="DL44" s="173" t="e">
        <f t="shared" si="31"/>
        <v>#REF!</v>
      </c>
    </row>
    <row r="45" spans="1:116">
      <c r="A45" s="168">
        <v>2140</v>
      </c>
      <c r="B45" s="2">
        <v>140159</v>
      </c>
      <c r="C45" s="2" t="s">
        <v>249</v>
      </c>
      <c r="D45" s="30"/>
      <c r="E45" s="226"/>
      <c r="F45" s="176">
        <v>0</v>
      </c>
      <c r="G45" s="176">
        <v>0</v>
      </c>
      <c r="H45" s="176">
        <v>0</v>
      </c>
      <c r="I45" s="176">
        <v>0</v>
      </c>
      <c r="J45" s="176">
        <v>0</v>
      </c>
      <c r="K45" s="176">
        <v>0</v>
      </c>
      <c r="L45" s="30">
        <f t="shared" si="11"/>
        <v>0</v>
      </c>
      <c r="M45" s="176">
        <f t="shared" si="12"/>
        <v>0</v>
      </c>
      <c r="N45" s="226"/>
      <c r="O45" s="176">
        <v>0</v>
      </c>
      <c r="P45" s="176">
        <v>0</v>
      </c>
      <c r="Q45" s="176">
        <v>0</v>
      </c>
      <c r="R45" s="176">
        <v>0</v>
      </c>
      <c r="S45" s="176">
        <v>0</v>
      </c>
      <c r="T45" s="176">
        <v>0</v>
      </c>
      <c r="U45" s="176">
        <f t="shared" si="13"/>
        <v>0</v>
      </c>
      <c r="V45" s="176">
        <f t="shared" si="14"/>
        <v>0</v>
      </c>
      <c r="W45" s="226"/>
      <c r="X45" s="247"/>
      <c r="Y45" s="176">
        <v>0</v>
      </c>
      <c r="Z45" s="176">
        <v>0</v>
      </c>
      <c r="AA45" s="176">
        <v>0</v>
      </c>
      <c r="AB45" s="176">
        <v>0</v>
      </c>
      <c r="AC45" s="176">
        <v>0</v>
      </c>
      <c r="AD45" s="176">
        <f t="shared" si="15"/>
        <v>0</v>
      </c>
      <c r="AE45" s="247">
        <f t="shared" si="16"/>
        <v>0</v>
      </c>
      <c r="AF45" s="226"/>
      <c r="AG45" s="247">
        <v>0</v>
      </c>
      <c r="AH45" s="247">
        <v>0</v>
      </c>
      <c r="AI45" s="247">
        <v>0</v>
      </c>
      <c r="AJ45" s="226"/>
      <c r="AK45" s="247">
        <f t="shared" si="17"/>
        <v>0</v>
      </c>
      <c r="AL45" s="247">
        <f t="shared" si="18"/>
        <v>0</v>
      </c>
      <c r="AM45" s="247">
        <f t="shared" si="19"/>
        <v>0</v>
      </c>
      <c r="AN45" s="225"/>
      <c r="AO45" s="225">
        <v>0</v>
      </c>
      <c r="AP45" s="225">
        <v>0</v>
      </c>
      <c r="AQ45" s="225">
        <v>0</v>
      </c>
      <c r="AR45" s="225">
        <v>0</v>
      </c>
      <c r="AS45" s="225">
        <v>0</v>
      </c>
      <c r="AT45" s="225">
        <v>0</v>
      </c>
      <c r="AU45" s="225">
        <v>0</v>
      </c>
      <c r="AV45" s="225">
        <f t="shared" si="20"/>
        <v>0</v>
      </c>
      <c r="AX45" s="225">
        <f t="shared" si="21"/>
        <v>0</v>
      </c>
      <c r="AY45" s="225">
        <f t="shared" si="22"/>
        <v>0</v>
      </c>
      <c r="AZ45" s="225">
        <f t="shared" si="23"/>
        <v>0</v>
      </c>
      <c r="BA45" s="225">
        <f t="shared" si="24"/>
        <v>0</v>
      </c>
      <c r="BB45" s="225">
        <f t="shared" si="25"/>
        <v>0</v>
      </c>
      <c r="BC45" s="225">
        <f t="shared" si="26"/>
        <v>0</v>
      </c>
      <c r="BD45" s="225">
        <f t="shared" si="27"/>
        <v>0</v>
      </c>
      <c r="BE45" s="225">
        <f t="shared" si="28"/>
        <v>0</v>
      </c>
      <c r="BF45" s="225">
        <f t="shared" si="29"/>
        <v>0</v>
      </c>
      <c r="BG45" s="225">
        <f t="shared" si="2"/>
        <v>0</v>
      </c>
      <c r="BH45" s="225">
        <f t="shared" si="3"/>
        <v>0</v>
      </c>
      <c r="BI45" s="225">
        <f t="shared" si="4"/>
        <v>0</v>
      </c>
      <c r="BJ45" s="225">
        <f t="shared" si="5"/>
        <v>0</v>
      </c>
      <c r="BK45" s="225">
        <f t="shared" si="6"/>
        <v>0</v>
      </c>
      <c r="BL45" s="225">
        <f t="shared" si="7"/>
        <v>0</v>
      </c>
      <c r="BM45" s="225">
        <f t="shared" si="8"/>
        <v>0</v>
      </c>
      <c r="BN45" s="225">
        <f t="shared" si="30"/>
        <v>0</v>
      </c>
      <c r="BO45" s="225">
        <f t="shared" si="9"/>
        <v>0</v>
      </c>
      <c r="BP45" s="225"/>
      <c r="BQ45" s="225"/>
      <c r="BR45" s="225"/>
      <c r="BS45" s="225"/>
      <c r="BT45" s="225"/>
      <c r="BU45" s="225"/>
      <c r="BV45" s="225"/>
      <c r="BW45" s="225"/>
      <c r="BY45" s="176"/>
      <c r="BZ45" s="176"/>
      <c r="CA45" s="176"/>
      <c r="CB45" s="176"/>
      <c r="CC45" s="176"/>
      <c r="CD45" s="176"/>
      <c r="CE45" s="176"/>
      <c r="CF45" s="176"/>
      <c r="CH45" s="248"/>
      <c r="CI45" s="248"/>
      <c r="CJ45" s="248"/>
      <c r="CK45" s="248"/>
      <c r="CL45" s="248"/>
      <c r="CM45" s="248"/>
      <c r="CN45" s="248"/>
      <c r="CO45" s="248"/>
      <c r="CQ45" s="248"/>
      <c r="CR45" s="248"/>
      <c r="CS45" s="248"/>
      <c r="CT45" s="248"/>
      <c r="CU45" s="248"/>
      <c r="CV45" s="248"/>
      <c r="CW45" s="248"/>
      <c r="CX45" s="248"/>
      <c r="CY45" s="248"/>
      <c r="DA45" s="248"/>
      <c r="DB45" s="248"/>
      <c r="DC45" s="248"/>
      <c r="DD45" s="248"/>
      <c r="DE45" s="248"/>
      <c r="DF45" s="248"/>
      <c r="DG45" s="248"/>
      <c r="DH45" s="248"/>
      <c r="DJ45" s="179" t="e">
        <f>#REF!+((SUMIFS($F45:$AM45,$F$3:$AM$3,$DJ$7)*80%))+SUMIFS(#REF!,#REF!,$DJ$7)</f>
        <v>#REF!</v>
      </c>
      <c r="DK45" s="179">
        <f t="shared" si="32"/>
        <v>0</v>
      </c>
      <c r="DL45" s="173" t="e">
        <f t="shared" si="31"/>
        <v>#REF!</v>
      </c>
    </row>
    <row r="46" spans="1:116">
      <c r="A46" s="168">
        <v>4042</v>
      </c>
      <c r="B46" s="2">
        <v>148589</v>
      </c>
      <c r="C46" s="2" t="s">
        <v>250</v>
      </c>
      <c r="D46" s="30"/>
      <c r="E46" s="226"/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30">
        <f t="shared" si="11"/>
        <v>0</v>
      </c>
      <c r="M46" s="176">
        <f t="shared" si="12"/>
        <v>0</v>
      </c>
      <c r="N46" s="226"/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  <c r="U46" s="176">
        <f t="shared" si="13"/>
        <v>0</v>
      </c>
      <c r="V46" s="176">
        <f t="shared" si="14"/>
        <v>0</v>
      </c>
      <c r="W46" s="226"/>
      <c r="X46" s="247"/>
      <c r="Y46" s="176">
        <v>0</v>
      </c>
      <c r="Z46" s="176">
        <v>0</v>
      </c>
      <c r="AA46" s="176">
        <v>0</v>
      </c>
      <c r="AB46" s="176">
        <v>0</v>
      </c>
      <c r="AC46" s="176">
        <v>0</v>
      </c>
      <c r="AD46" s="176">
        <f t="shared" si="15"/>
        <v>0</v>
      </c>
      <c r="AE46" s="247">
        <f t="shared" si="16"/>
        <v>0</v>
      </c>
      <c r="AF46" s="226"/>
      <c r="AG46" s="247">
        <v>0</v>
      </c>
      <c r="AH46" s="247">
        <v>0</v>
      </c>
      <c r="AI46" s="247">
        <v>0</v>
      </c>
      <c r="AJ46" s="226"/>
      <c r="AK46" s="247">
        <f t="shared" si="17"/>
        <v>0</v>
      </c>
      <c r="AL46" s="247">
        <f t="shared" si="18"/>
        <v>0</v>
      </c>
      <c r="AM46" s="247">
        <f t="shared" si="19"/>
        <v>0</v>
      </c>
      <c r="AN46" s="225"/>
      <c r="AO46" s="225">
        <v>0</v>
      </c>
      <c r="AP46" s="225">
        <v>0</v>
      </c>
      <c r="AQ46" s="225">
        <v>0</v>
      </c>
      <c r="AR46" s="225">
        <v>0</v>
      </c>
      <c r="AS46" s="225">
        <v>0</v>
      </c>
      <c r="AT46" s="225">
        <v>0</v>
      </c>
      <c r="AU46" s="225">
        <v>0</v>
      </c>
      <c r="AV46" s="225">
        <f t="shared" si="20"/>
        <v>0</v>
      </c>
      <c r="AX46" s="225">
        <f t="shared" si="21"/>
        <v>0</v>
      </c>
      <c r="AY46" s="225">
        <f t="shared" si="22"/>
        <v>0</v>
      </c>
      <c r="AZ46" s="225">
        <f t="shared" si="23"/>
        <v>0</v>
      </c>
      <c r="BA46" s="225">
        <f t="shared" si="24"/>
        <v>0</v>
      </c>
      <c r="BB46" s="225">
        <f t="shared" si="25"/>
        <v>0</v>
      </c>
      <c r="BC46" s="225">
        <f t="shared" si="26"/>
        <v>0</v>
      </c>
      <c r="BD46" s="225">
        <f t="shared" si="27"/>
        <v>0</v>
      </c>
      <c r="BE46" s="225">
        <f t="shared" si="28"/>
        <v>0</v>
      </c>
      <c r="BF46" s="225">
        <f t="shared" si="29"/>
        <v>0</v>
      </c>
      <c r="BG46" s="225">
        <f t="shared" si="2"/>
        <v>0</v>
      </c>
      <c r="BH46" s="225">
        <f t="shared" si="3"/>
        <v>0</v>
      </c>
      <c r="BI46" s="225">
        <f t="shared" si="4"/>
        <v>0</v>
      </c>
      <c r="BJ46" s="225">
        <f t="shared" si="5"/>
        <v>0</v>
      </c>
      <c r="BK46" s="225">
        <f t="shared" si="6"/>
        <v>0</v>
      </c>
      <c r="BL46" s="225">
        <f t="shared" si="7"/>
        <v>0</v>
      </c>
      <c r="BM46" s="225">
        <f t="shared" si="8"/>
        <v>0</v>
      </c>
      <c r="BN46" s="225">
        <f t="shared" si="30"/>
        <v>0</v>
      </c>
      <c r="BO46" s="225">
        <f t="shared" si="9"/>
        <v>0</v>
      </c>
      <c r="BP46" s="225"/>
      <c r="BQ46" s="225"/>
      <c r="BR46" s="225"/>
      <c r="BS46" s="225"/>
      <c r="BT46" s="225"/>
      <c r="BU46" s="225"/>
      <c r="BV46" s="225"/>
      <c r="BW46" s="225"/>
      <c r="BY46" s="176"/>
      <c r="BZ46" s="176"/>
      <c r="CA46" s="176"/>
      <c r="CB46" s="176"/>
      <c r="CC46" s="176"/>
      <c r="CD46" s="176"/>
      <c r="CE46" s="176"/>
      <c r="CF46" s="176"/>
      <c r="CH46" s="248"/>
      <c r="CI46" s="248"/>
      <c r="CJ46" s="248"/>
      <c r="CK46" s="248"/>
      <c r="CL46" s="248"/>
      <c r="CM46" s="248"/>
      <c r="CN46" s="248"/>
      <c r="CO46" s="248"/>
      <c r="CQ46" s="248"/>
      <c r="CR46" s="248"/>
      <c r="CS46" s="248"/>
      <c r="CT46" s="248"/>
      <c r="CU46" s="248"/>
      <c r="CV46" s="248"/>
      <c r="CW46" s="248"/>
      <c r="CX46" s="248"/>
      <c r="CY46" s="248"/>
      <c r="DA46" s="248"/>
      <c r="DB46" s="248"/>
      <c r="DC46" s="248"/>
      <c r="DD46" s="248"/>
      <c r="DE46" s="248"/>
      <c r="DF46" s="248"/>
      <c r="DG46" s="248"/>
      <c r="DH46" s="248"/>
      <c r="DJ46" s="179" t="e">
        <f>#REF!+((SUMIFS($F46:$AM46,$F$3:$AM$3,$DJ$7)*80%))+SUMIFS(#REF!,#REF!,$DJ$7)</f>
        <v>#REF!</v>
      </c>
      <c r="DK46" s="179">
        <f t="shared" si="32"/>
        <v>0</v>
      </c>
      <c r="DL46" s="173" t="e">
        <f t="shared" si="31"/>
        <v>#REF!</v>
      </c>
    </row>
    <row r="47" spans="1:116">
      <c r="A47" s="168">
        <v>4039</v>
      </c>
      <c r="B47" s="2">
        <v>148187</v>
      </c>
      <c r="C47" s="2" t="s">
        <v>251</v>
      </c>
      <c r="D47" s="30"/>
      <c r="E47" s="226"/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30">
        <f t="shared" si="11"/>
        <v>0</v>
      </c>
      <c r="M47" s="176">
        <f t="shared" si="12"/>
        <v>0</v>
      </c>
      <c r="N47" s="226"/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76">
        <v>0</v>
      </c>
      <c r="U47" s="176">
        <f t="shared" si="13"/>
        <v>0</v>
      </c>
      <c r="V47" s="176">
        <f t="shared" si="14"/>
        <v>0</v>
      </c>
      <c r="W47" s="226"/>
      <c r="X47" s="247"/>
      <c r="Y47" s="176">
        <v>0</v>
      </c>
      <c r="Z47" s="176">
        <v>0</v>
      </c>
      <c r="AA47" s="176">
        <v>0</v>
      </c>
      <c r="AB47" s="176">
        <v>0</v>
      </c>
      <c r="AC47" s="176">
        <v>0</v>
      </c>
      <c r="AD47" s="176">
        <f t="shared" si="15"/>
        <v>0</v>
      </c>
      <c r="AE47" s="247">
        <f t="shared" si="16"/>
        <v>0</v>
      </c>
      <c r="AF47" s="226"/>
      <c r="AG47" s="247">
        <v>0</v>
      </c>
      <c r="AH47" s="247">
        <v>0</v>
      </c>
      <c r="AI47" s="247">
        <v>0</v>
      </c>
      <c r="AJ47" s="226"/>
      <c r="AK47" s="247">
        <f t="shared" si="17"/>
        <v>0</v>
      </c>
      <c r="AL47" s="247">
        <f t="shared" si="18"/>
        <v>0</v>
      </c>
      <c r="AM47" s="247">
        <f t="shared" si="19"/>
        <v>0</v>
      </c>
      <c r="AN47" s="225"/>
      <c r="AO47" s="225">
        <v>0</v>
      </c>
      <c r="AP47" s="225">
        <v>0</v>
      </c>
      <c r="AQ47" s="225">
        <v>0</v>
      </c>
      <c r="AR47" s="225">
        <v>0</v>
      </c>
      <c r="AS47" s="225">
        <v>0</v>
      </c>
      <c r="AT47" s="225">
        <v>0</v>
      </c>
      <c r="AU47" s="225">
        <v>0</v>
      </c>
      <c r="AV47" s="225">
        <f t="shared" si="20"/>
        <v>0</v>
      </c>
      <c r="AX47" s="225">
        <f t="shared" si="21"/>
        <v>0</v>
      </c>
      <c r="AY47" s="225">
        <f t="shared" si="22"/>
        <v>0</v>
      </c>
      <c r="AZ47" s="225">
        <f t="shared" si="23"/>
        <v>0</v>
      </c>
      <c r="BA47" s="225">
        <f t="shared" si="24"/>
        <v>0</v>
      </c>
      <c r="BB47" s="225">
        <f t="shared" si="25"/>
        <v>0</v>
      </c>
      <c r="BC47" s="225">
        <f t="shared" si="26"/>
        <v>0</v>
      </c>
      <c r="BD47" s="225">
        <f t="shared" si="27"/>
        <v>0</v>
      </c>
      <c r="BE47" s="225">
        <f t="shared" si="28"/>
        <v>0</v>
      </c>
      <c r="BF47" s="225">
        <f t="shared" si="29"/>
        <v>0</v>
      </c>
      <c r="BG47" s="225">
        <f t="shared" si="2"/>
        <v>0</v>
      </c>
      <c r="BH47" s="225">
        <f t="shared" si="3"/>
        <v>0</v>
      </c>
      <c r="BI47" s="225">
        <f t="shared" si="4"/>
        <v>0</v>
      </c>
      <c r="BJ47" s="225">
        <f t="shared" si="5"/>
        <v>0</v>
      </c>
      <c r="BK47" s="225">
        <f t="shared" si="6"/>
        <v>0</v>
      </c>
      <c r="BL47" s="225">
        <f t="shared" si="7"/>
        <v>0</v>
      </c>
      <c r="BM47" s="225">
        <f t="shared" si="8"/>
        <v>0</v>
      </c>
      <c r="BN47" s="225">
        <f t="shared" si="30"/>
        <v>0</v>
      </c>
      <c r="BO47" s="225">
        <f t="shared" si="9"/>
        <v>0</v>
      </c>
      <c r="BP47" s="225"/>
      <c r="BQ47" s="225"/>
      <c r="BR47" s="225"/>
      <c r="BS47" s="225"/>
      <c r="BT47" s="225"/>
      <c r="BU47" s="225"/>
      <c r="BV47" s="225"/>
      <c r="BW47" s="225"/>
      <c r="BY47" s="176"/>
      <c r="BZ47" s="176"/>
      <c r="CA47" s="176"/>
      <c r="CB47" s="176"/>
      <c r="CC47" s="176"/>
      <c r="CD47" s="176"/>
      <c r="CE47" s="176"/>
      <c r="CF47" s="176"/>
      <c r="CH47" s="248"/>
      <c r="CI47" s="248"/>
      <c r="CJ47" s="248"/>
      <c r="CK47" s="248"/>
      <c r="CL47" s="248"/>
      <c r="CM47" s="248"/>
      <c r="CN47" s="248"/>
      <c r="CO47" s="248"/>
      <c r="CQ47" s="248"/>
      <c r="CR47" s="248"/>
      <c r="CS47" s="248"/>
      <c r="CT47" s="248"/>
      <c r="CU47" s="248"/>
      <c r="CV47" s="248"/>
      <c r="CW47" s="248"/>
      <c r="CX47" s="248"/>
      <c r="CY47" s="248"/>
      <c r="DA47" s="248"/>
      <c r="DB47" s="248"/>
      <c r="DC47" s="248"/>
      <c r="DD47" s="248"/>
      <c r="DE47" s="248"/>
      <c r="DF47" s="248"/>
      <c r="DG47" s="248"/>
      <c r="DH47" s="248"/>
      <c r="DJ47" s="179" t="e">
        <f>#REF!+((SUMIFS($F47:$AM47,$F$3:$AM$3,$DJ$7)*80%))+SUMIFS(#REF!,#REF!,$DJ$7)</f>
        <v>#REF!</v>
      </c>
      <c r="DK47" s="179">
        <f t="shared" si="32"/>
        <v>0</v>
      </c>
      <c r="DL47" s="173" t="e">
        <f t="shared" si="31"/>
        <v>#REF!</v>
      </c>
    </row>
    <row r="48" spans="1:116">
      <c r="A48" s="168">
        <v>2194</v>
      </c>
      <c r="B48" s="2">
        <v>146385</v>
      </c>
      <c r="C48" s="2" t="s">
        <v>252</v>
      </c>
      <c r="D48" s="30"/>
      <c r="E48" s="226"/>
      <c r="F48" s="176">
        <v>0</v>
      </c>
      <c r="G48" s="176">
        <v>0</v>
      </c>
      <c r="H48" s="176">
        <v>70636.800000000003</v>
      </c>
      <c r="I48" s="176">
        <v>780</v>
      </c>
      <c r="J48" s="176">
        <v>74.578947368421055</v>
      </c>
      <c r="K48" s="176">
        <v>0</v>
      </c>
      <c r="L48" s="30">
        <f t="shared" si="11"/>
        <v>71491.37894736843</v>
      </c>
      <c r="M48" s="176">
        <f t="shared" si="12"/>
        <v>57193.103157894744</v>
      </c>
      <c r="N48" s="226"/>
      <c r="O48" s="176">
        <v>0</v>
      </c>
      <c r="P48" s="176">
        <v>0</v>
      </c>
      <c r="Q48" s="176">
        <v>43044.3</v>
      </c>
      <c r="R48" s="176">
        <v>1755</v>
      </c>
      <c r="S48" s="176">
        <v>671.21052631578948</v>
      </c>
      <c r="T48" s="176">
        <v>0</v>
      </c>
      <c r="U48" s="176">
        <f t="shared" si="13"/>
        <v>45470.510526315789</v>
      </c>
      <c r="V48" s="176">
        <f t="shared" si="14"/>
        <v>36376.408421052634</v>
      </c>
      <c r="W48" s="226"/>
      <c r="X48" s="247"/>
      <c r="Y48" s="176">
        <v>0</v>
      </c>
      <c r="Z48" s="176">
        <v>49545.852631578957</v>
      </c>
      <c r="AA48" s="176">
        <v>795.78947368421041</v>
      </c>
      <c r="AB48" s="176">
        <v>239.13573407202216</v>
      </c>
      <c r="AC48" s="176">
        <v>0</v>
      </c>
      <c r="AD48" s="176">
        <f t="shared" si="15"/>
        <v>50580.777839335191</v>
      </c>
      <c r="AE48" s="247">
        <f t="shared" si="16"/>
        <v>40464.622271468157</v>
      </c>
      <c r="AF48" s="226"/>
      <c r="AG48" s="247">
        <v>487.5</v>
      </c>
      <c r="AH48" s="247">
        <v>290.55</v>
      </c>
      <c r="AI48" s="247">
        <v>317.74736842105256</v>
      </c>
      <c r="AJ48" s="226"/>
      <c r="AK48" s="247">
        <f t="shared" si="17"/>
        <v>390</v>
      </c>
      <c r="AL48" s="247">
        <f t="shared" si="18"/>
        <v>232.44000000000003</v>
      </c>
      <c r="AM48" s="247">
        <f t="shared" si="19"/>
        <v>254.19789473684204</v>
      </c>
      <c r="AN48" s="225"/>
      <c r="AO48" s="225">
        <v>0</v>
      </c>
      <c r="AP48" s="225">
        <v>0</v>
      </c>
      <c r="AQ48" s="225">
        <v>65118.3</v>
      </c>
      <c r="AR48" s="225">
        <v>2535</v>
      </c>
      <c r="AS48" s="225">
        <v>969.52631578947376</v>
      </c>
      <c r="AT48" s="225">
        <v>0</v>
      </c>
      <c r="AU48" s="225">
        <v>518.70000000000005</v>
      </c>
      <c r="AV48" s="225">
        <f t="shared" si="20"/>
        <v>69141.526315789481</v>
      </c>
      <c r="AX48" s="225">
        <f t="shared" si="21"/>
        <v>0</v>
      </c>
      <c r="AY48" s="225">
        <f t="shared" si="22"/>
        <v>0</v>
      </c>
      <c r="AZ48" s="225">
        <f t="shared" si="23"/>
        <v>-5518.5</v>
      </c>
      <c r="BA48" s="225">
        <f t="shared" si="24"/>
        <v>1755</v>
      </c>
      <c r="BB48" s="225">
        <f t="shared" si="25"/>
        <v>894.94736842105272</v>
      </c>
      <c r="BC48" s="225">
        <f t="shared" si="26"/>
        <v>0</v>
      </c>
      <c r="BD48" s="225">
        <f t="shared" si="27"/>
        <v>31.200000000000045</v>
      </c>
      <c r="BE48" s="225">
        <f t="shared" si="28"/>
        <v>-2837.3526315789477</v>
      </c>
      <c r="BF48" s="225">
        <f t="shared" si="29"/>
        <v>0</v>
      </c>
      <c r="BG48" s="225">
        <f t="shared" si="2"/>
        <v>0</v>
      </c>
      <c r="BH48" s="225">
        <f t="shared" si="3"/>
        <v>0</v>
      </c>
      <c r="BI48" s="225">
        <f t="shared" si="4"/>
        <v>8608.86</v>
      </c>
      <c r="BJ48" s="225">
        <f t="shared" si="5"/>
        <v>1911</v>
      </c>
      <c r="BK48" s="225">
        <f t="shared" si="6"/>
        <v>909.8631578947369</v>
      </c>
      <c r="BL48" s="225">
        <f t="shared" si="7"/>
        <v>0</v>
      </c>
      <c r="BM48" s="225">
        <f t="shared" si="8"/>
        <v>128.70000000000005</v>
      </c>
      <c r="BN48" s="225">
        <f t="shared" si="30"/>
        <v>11558.423157894738</v>
      </c>
      <c r="BO48" s="225">
        <f t="shared" si="9"/>
        <v>0</v>
      </c>
      <c r="BP48" s="225"/>
      <c r="BQ48" s="225"/>
      <c r="BR48" s="225"/>
      <c r="BS48" s="225"/>
      <c r="BT48" s="225"/>
      <c r="BU48" s="225"/>
      <c r="BV48" s="225"/>
      <c r="BW48" s="225"/>
      <c r="BY48" s="176"/>
      <c r="BZ48" s="176"/>
      <c r="CA48" s="176"/>
      <c r="CB48" s="176"/>
      <c r="CC48" s="176"/>
      <c r="CD48" s="176"/>
      <c r="CE48" s="176"/>
      <c r="CF48" s="176"/>
      <c r="CH48" s="248"/>
      <c r="CI48" s="248"/>
      <c r="CJ48" s="248"/>
      <c r="CK48" s="248"/>
      <c r="CL48" s="248"/>
      <c r="CM48" s="248"/>
      <c r="CN48" s="248"/>
      <c r="CO48" s="248"/>
      <c r="CQ48" s="248"/>
      <c r="CR48" s="248"/>
      <c r="CS48" s="248"/>
      <c r="CT48" s="248"/>
      <c r="CU48" s="248"/>
      <c r="CV48" s="248"/>
      <c r="CW48" s="248"/>
      <c r="CX48" s="248"/>
      <c r="CY48" s="248"/>
      <c r="DA48" s="248"/>
      <c r="DB48" s="248"/>
      <c r="DC48" s="248"/>
      <c r="DD48" s="248"/>
      <c r="DE48" s="248"/>
      <c r="DF48" s="248"/>
      <c r="DG48" s="248"/>
      <c r="DH48" s="248"/>
      <c r="DJ48" s="179" t="e">
        <f>#REF!+((SUMIFS($F48:$AM48,$F$3:$AM$3,$DJ$7)*80%))+SUMIFS(#REF!,#REF!,$DJ$7)</f>
        <v>#REF!</v>
      </c>
      <c r="DK48" s="179">
        <f t="shared" si="32"/>
        <v>0</v>
      </c>
      <c r="DL48" s="173" t="e">
        <f t="shared" si="31"/>
        <v>#REF!</v>
      </c>
    </row>
    <row r="49" spans="1:116">
      <c r="A49" s="168">
        <v>4022</v>
      </c>
      <c r="B49" s="2">
        <v>142388</v>
      </c>
      <c r="C49" s="2" t="s">
        <v>253</v>
      </c>
      <c r="D49" s="30"/>
      <c r="E49" s="226"/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30">
        <f t="shared" si="11"/>
        <v>0</v>
      </c>
      <c r="M49" s="176">
        <f t="shared" si="12"/>
        <v>0</v>
      </c>
      <c r="N49" s="226"/>
      <c r="O49" s="176">
        <v>0</v>
      </c>
      <c r="P49" s="176">
        <v>0</v>
      </c>
      <c r="Q49" s="176">
        <v>0</v>
      </c>
      <c r="R49" s="176">
        <v>0</v>
      </c>
      <c r="S49" s="176">
        <v>0</v>
      </c>
      <c r="T49" s="176">
        <v>0</v>
      </c>
      <c r="U49" s="176">
        <f t="shared" si="13"/>
        <v>0</v>
      </c>
      <c r="V49" s="176">
        <f t="shared" si="14"/>
        <v>0</v>
      </c>
      <c r="W49" s="226"/>
      <c r="X49" s="247"/>
      <c r="Y49" s="176">
        <v>0</v>
      </c>
      <c r="Z49" s="176">
        <v>0</v>
      </c>
      <c r="AA49" s="176">
        <v>0</v>
      </c>
      <c r="AB49" s="176">
        <v>0</v>
      </c>
      <c r="AC49" s="176">
        <v>0</v>
      </c>
      <c r="AD49" s="176">
        <f t="shared" si="15"/>
        <v>0</v>
      </c>
      <c r="AE49" s="247">
        <f t="shared" si="16"/>
        <v>0</v>
      </c>
      <c r="AF49" s="226"/>
      <c r="AG49" s="247">
        <v>0</v>
      </c>
      <c r="AH49" s="247">
        <v>0</v>
      </c>
      <c r="AI49" s="247">
        <v>0</v>
      </c>
      <c r="AJ49" s="226"/>
      <c r="AK49" s="247">
        <f t="shared" si="17"/>
        <v>0</v>
      </c>
      <c r="AL49" s="247">
        <f t="shared" si="18"/>
        <v>0</v>
      </c>
      <c r="AM49" s="247">
        <f t="shared" si="19"/>
        <v>0</v>
      </c>
      <c r="AN49" s="225"/>
      <c r="AO49" s="225">
        <v>0</v>
      </c>
      <c r="AP49" s="225">
        <v>0</v>
      </c>
      <c r="AQ49" s="225">
        <v>0</v>
      </c>
      <c r="AR49" s="225">
        <v>0</v>
      </c>
      <c r="AS49" s="225">
        <v>0</v>
      </c>
      <c r="AT49" s="225">
        <v>0</v>
      </c>
      <c r="AU49" s="225">
        <v>0</v>
      </c>
      <c r="AV49" s="225">
        <f t="shared" si="20"/>
        <v>0</v>
      </c>
      <c r="AX49" s="225">
        <f t="shared" si="21"/>
        <v>0</v>
      </c>
      <c r="AY49" s="225">
        <f t="shared" si="22"/>
        <v>0</v>
      </c>
      <c r="AZ49" s="225">
        <f t="shared" si="23"/>
        <v>0</v>
      </c>
      <c r="BA49" s="225">
        <f t="shared" si="24"/>
        <v>0</v>
      </c>
      <c r="BB49" s="225">
        <f t="shared" si="25"/>
        <v>0</v>
      </c>
      <c r="BC49" s="225">
        <f t="shared" si="26"/>
        <v>0</v>
      </c>
      <c r="BD49" s="225">
        <f t="shared" si="27"/>
        <v>0</v>
      </c>
      <c r="BE49" s="225">
        <f t="shared" si="28"/>
        <v>0</v>
      </c>
      <c r="BF49" s="225">
        <f t="shared" si="29"/>
        <v>0</v>
      </c>
      <c r="BG49" s="225">
        <f t="shared" si="2"/>
        <v>0</v>
      </c>
      <c r="BH49" s="225">
        <f t="shared" si="3"/>
        <v>0</v>
      </c>
      <c r="BI49" s="225">
        <f t="shared" si="4"/>
        <v>0</v>
      </c>
      <c r="BJ49" s="225">
        <f t="shared" si="5"/>
        <v>0</v>
      </c>
      <c r="BK49" s="225">
        <f t="shared" si="6"/>
        <v>0</v>
      </c>
      <c r="BL49" s="225">
        <f t="shared" si="7"/>
        <v>0</v>
      </c>
      <c r="BM49" s="225">
        <f t="shared" si="8"/>
        <v>0</v>
      </c>
      <c r="BN49" s="225">
        <f t="shared" si="30"/>
        <v>0</v>
      </c>
      <c r="BO49" s="225">
        <f t="shared" si="9"/>
        <v>0</v>
      </c>
      <c r="BP49" s="225"/>
      <c r="BQ49" s="225"/>
      <c r="BR49" s="225"/>
      <c r="BS49" s="225"/>
      <c r="BT49" s="225"/>
      <c r="BU49" s="225"/>
      <c r="BV49" s="225"/>
      <c r="BW49" s="225"/>
      <c r="BY49" s="176"/>
      <c r="BZ49" s="176"/>
      <c r="CA49" s="176"/>
      <c r="CB49" s="176"/>
      <c r="CC49" s="176"/>
      <c r="CD49" s="176"/>
      <c r="CE49" s="176"/>
      <c r="CF49" s="176"/>
      <c r="CH49" s="248"/>
      <c r="CI49" s="248"/>
      <c r="CJ49" s="248"/>
      <c r="CK49" s="248"/>
      <c r="CL49" s="248"/>
      <c r="CM49" s="248"/>
      <c r="CN49" s="248"/>
      <c r="CO49" s="248"/>
      <c r="CQ49" s="248"/>
      <c r="CR49" s="248"/>
      <c r="CS49" s="248"/>
      <c r="CT49" s="248"/>
      <c r="CU49" s="248"/>
      <c r="CV49" s="248"/>
      <c r="CW49" s="248"/>
      <c r="CX49" s="248"/>
      <c r="CY49" s="248"/>
      <c r="DA49" s="248"/>
      <c r="DB49" s="248"/>
      <c r="DC49" s="248"/>
      <c r="DD49" s="248"/>
      <c r="DE49" s="248"/>
      <c r="DF49" s="248"/>
      <c r="DG49" s="248"/>
      <c r="DH49" s="248"/>
      <c r="DJ49" s="179" t="e">
        <f>#REF!+((SUMIFS($F49:$AM49,$F$3:$AM$3,$DJ$7)*80%))+SUMIFS(#REF!,#REF!,$DJ$7)</f>
        <v>#REF!</v>
      </c>
      <c r="DK49" s="179">
        <f t="shared" si="32"/>
        <v>0</v>
      </c>
      <c r="DL49" s="173" t="e">
        <f t="shared" si="31"/>
        <v>#REF!</v>
      </c>
    </row>
    <row r="50" spans="1:116">
      <c r="A50" s="168">
        <v>2052</v>
      </c>
      <c r="B50" s="2">
        <v>146696</v>
      </c>
      <c r="C50" s="2" t="s">
        <v>254</v>
      </c>
      <c r="D50" s="30"/>
      <c r="E50" s="226"/>
      <c r="F50" s="176">
        <v>0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30">
        <f t="shared" si="11"/>
        <v>0</v>
      </c>
      <c r="M50" s="176">
        <f t="shared" si="12"/>
        <v>0</v>
      </c>
      <c r="N50" s="226"/>
      <c r="O50" s="176">
        <v>0</v>
      </c>
      <c r="P50" s="176">
        <v>0</v>
      </c>
      <c r="Q50" s="176">
        <v>0</v>
      </c>
      <c r="R50" s="176">
        <v>0</v>
      </c>
      <c r="S50" s="176">
        <v>0</v>
      </c>
      <c r="T50" s="176">
        <v>0</v>
      </c>
      <c r="U50" s="176">
        <f t="shared" si="13"/>
        <v>0</v>
      </c>
      <c r="V50" s="176">
        <f t="shared" si="14"/>
        <v>0</v>
      </c>
      <c r="W50" s="226"/>
      <c r="X50" s="247"/>
      <c r="Y50" s="176">
        <v>0</v>
      </c>
      <c r="Z50" s="176">
        <v>0</v>
      </c>
      <c r="AA50" s="176">
        <v>0</v>
      </c>
      <c r="AB50" s="176">
        <v>0</v>
      </c>
      <c r="AC50" s="176">
        <v>0</v>
      </c>
      <c r="AD50" s="176">
        <f t="shared" si="15"/>
        <v>0</v>
      </c>
      <c r="AE50" s="247">
        <f t="shared" si="16"/>
        <v>0</v>
      </c>
      <c r="AF50" s="226"/>
      <c r="AG50" s="247">
        <v>0</v>
      </c>
      <c r="AH50" s="247">
        <v>0</v>
      </c>
      <c r="AI50" s="247">
        <v>0</v>
      </c>
      <c r="AJ50" s="226"/>
      <c r="AK50" s="247">
        <f t="shared" si="17"/>
        <v>0</v>
      </c>
      <c r="AL50" s="247">
        <f t="shared" si="18"/>
        <v>0</v>
      </c>
      <c r="AM50" s="247">
        <f t="shared" si="19"/>
        <v>0</v>
      </c>
      <c r="AN50" s="225"/>
      <c r="AO50" s="225">
        <v>0</v>
      </c>
      <c r="AP50" s="225">
        <v>0</v>
      </c>
      <c r="AQ50" s="225">
        <v>0</v>
      </c>
      <c r="AR50" s="225">
        <v>0</v>
      </c>
      <c r="AS50" s="225">
        <v>0</v>
      </c>
      <c r="AT50" s="225">
        <v>0</v>
      </c>
      <c r="AU50" s="225">
        <v>0</v>
      </c>
      <c r="AV50" s="225">
        <f t="shared" si="20"/>
        <v>0</v>
      </c>
      <c r="AX50" s="225">
        <f t="shared" si="21"/>
        <v>0</v>
      </c>
      <c r="AY50" s="225">
        <f t="shared" si="22"/>
        <v>0</v>
      </c>
      <c r="AZ50" s="225">
        <f t="shared" si="23"/>
        <v>0</v>
      </c>
      <c r="BA50" s="225">
        <f t="shared" si="24"/>
        <v>0</v>
      </c>
      <c r="BB50" s="225">
        <f t="shared" si="25"/>
        <v>0</v>
      </c>
      <c r="BC50" s="225">
        <f t="shared" si="26"/>
        <v>0</v>
      </c>
      <c r="BD50" s="225">
        <f t="shared" si="27"/>
        <v>0</v>
      </c>
      <c r="BE50" s="225">
        <f t="shared" si="28"/>
        <v>0</v>
      </c>
      <c r="BF50" s="225">
        <f t="shared" si="29"/>
        <v>0</v>
      </c>
      <c r="BG50" s="225">
        <f t="shared" si="2"/>
        <v>0</v>
      </c>
      <c r="BH50" s="225">
        <f t="shared" si="3"/>
        <v>0</v>
      </c>
      <c r="BI50" s="225">
        <f t="shared" si="4"/>
        <v>0</v>
      </c>
      <c r="BJ50" s="225">
        <f t="shared" si="5"/>
        <v>0</v>
      </c>
      <c r="BK50" s="225">
        <f t="shared" si="6"/>
        <v>0</v>
      </c>
      <c r="BL50" s="225">
        <f t="shared" si="7"/>
        <v>0</v>
      </c>
      <c r="BM50" s="225">
        <f t="shared" si="8"/>
        <v>0</v>
      </c>
      <c r="BN50" s="225">
        <f t="shared" si="30"/>
        <v>0</v>
      </c>
      <c r="BO50" s="225">
        <f t="shared" si="9"/>
        <v>0</v>
      </c>
      <c r="BP50" s="225"/>
      <c r="BQ50" s="225"/>
      <c r="BR50" s="225"/>
      <c r="BS50" s="225"/>
      <c r="BT50" s="225"/>
      <c r="BU50" s="225"/>
      <c r="BV50" s="225"/>
      <c r="BW50" s="225"/>
      <c r="BY50" s="176"/>
      <c r="BZ50" s="176"/>
      <c r="CA50" s="176"/>
      <c r="CB50" s="176"/>
      <c r="CC50" s="176"/>
      <c r="CD50" s="176"/>
      <c r="CE50" s="176"/>
      <c r="CF50" s="176"/>
      <c r="CH50" s="248"/>
      <c r="CI50" s="248"/>
      <c r="CJ50" s="248"/>
      <c r="CK50" s="248"/>
      <c r="CL50" s="248"/>
      <c r="CM50" s="248"/>
      <c r="CN50" s="248"/>
      <c r="CO50" s="248"/>
      <c r="CQ50" s="248"/>
      <c r="CR50" s="248"/>
      <c r="CS50" s="248"/>
      <c r="CT50" s="248"/>
      <c r="CU50" s="248"/>
      <c r="CV50" s="248"/>
      <c r="CW50" s="248"/>
      <c r="CX50" s="248"/>
      <c r="CY50" s="248"/>
      <c r="DA50" s="248"/>
      <c r="DB50" s="248"/>
      <c r="DC50" s="248"/>
      <c r="DD50" s="248"/>
      <c r="DE50" s="248"/>
      <c r="DF50" s="248"/>
      <c r="DG50" s="248"/>
      <c r="DH50" s="248"/>
      <c r="DJ50" s="179" t="e">
        <f>#REF!+((SUMIFS($F50:$AM50,$F$3:$AM$3,$DJ$7)*80%))+SUMIFS(#REF!,#REF!,$DJ$7)</f>
        <v>#REF!</v>
      </c>
      <c r="DK50" s="179">
        <f t="shared" si="32"/>
        <v>0</v>
      </c>
      <c r="DL50" s="173" t="e">
        <f t="shared" si="31"/>
        <v>#REF!</v>
      </c>
    </row>
    <row r="51" spans="1:116">
      <c r="A51" s="168">
        <v>2082</v>
      </c>
      <c r="B51" s="2">
        <v>143086</v>
      </c>
      <c r="C51" s="2" t="s">
        <v>255</v>
      </c>
      <c r="D51" s="30"/>
      <c r="E51" s="226"/>
      <c r="F51" s="176">
        <v>0</v>
      </c>
      <c r="G51" s="176">
        <v>0</v>
      </c>
      <c r="H51" s="176">
        <v>28696.2</v>
      </c>
      <c r="I51" s="176">
        <v>2340</v>
      </c>
      <c r="J51" s="176">
        <v>0</v>
      </c>
      <c r="K51" s="176">
        <v>0</v>
      </c>
      <c r="L51" s="30">
        <f t="shared" si="11"/>
        <v>31036.2</v>
      </c>
      <c r="M51" s="176">
        <f t="shared" si="12"/>
        <v>24828.960000000003</v>
      </c>
      <c r="N51" s="226"/>
      <c r="O51" s="176">
        <v>0</v>
      </c>
      <c r="P51" s="176">
        <v>0</v>
      </c>
      <c r="Q51" s="176">
        <v>23177.7</v>
      </c>
      <c r="R51" s="176">
        <v>0</v>
      </c>
      <c r="S51" s="176">
        <v>0</v>
      </c>
      <c r="T51" s="176">
        <v>0</v>
      </c>
      <c r="U51" s="176">
        <f t="shared" si="13"/>
        <v>23177.7</v>
      </c>
      <c r="V51" s="176">
        <f t="shared" si="14"/>
        <v>18542.16</v>
      </c>
      <c r="W51" s="226"/>
      <c r="X51" s="247"/>
      <c r="Y51" s="176">
        <v>0</v>
      </c>
      <c r="Z51" s="176">
        <v>23486.021052631582</v>
      </c>
      <c r="AA51" s="176">
        <v>682.10526315789468</v>
      </c>
      <c r="AB51" s="176">
        <v>0</v>
      </c>
      <c r="AC51" s="176">
        <v>0</v>
      </c>
      <c r="AD51" s="176">
        <f t="shared" si="15"/>
        <v>24168.126315789475</v>
      </c>
      <c r="AE51" s="247">
        <f t="shared" si="16"/>
        <v>19334.501052631582</v>
      </c>
      <c r="AF51" s="226"/>
      <c r="AG51" s="247">
        <v>1973.3999999999996</v>
      </c>
      <c r="AH51" s="247">
        <v>1327.9499999999998</v>
      </c>
      <c r="AI51" s="247">
        <v>1502.9052631578945</v>
      </c>
      <c r="AJ51" s="226"/>
      <c r="AK51" s="247">
        <f t="shared" si="17"/>
        <v>1578.7199999999998</v>
      </c>
      <c r="AL51" s="247">
        <f t="shared" si="18"/>
        <v>1062.3599999999999</v>
      </c>
      <c r="AM51" s="247">
        <f t="shared" si="19"/>
        <v>1202.3242105263157</v>
      </c>
      <c r="AN51" s="225"/>
      <c r="AO51" s="225">
        <v>0</v>
      </c>
      <c r="AP51" s="225">
        <v>0</v>
      </c>
      <c r="AQ51" s="225">
        <v>23177.7</v>
      </c>
      <c r="AR51" s="225">
        <v>1560</v>
      </c>
      <c r="AS51" s="225">
        <v>0</v>
      </c>
      <c r="AT51" s="225">
        <v>0</v>
      </c>
      <c r="AU51" s="225">
        <v>1363.05</v>
      </c>
      <c r="AV51" s="225">
        <f t="shared" si="20"/>
        <v>26100.75</v>
      </c>
      <c r="AX51" s="225">
        <f t="shared" si="21"/>
        <v>0</v>
      </c>
      <c r="AY51" s="225">
        <f t="shared" si="22"/>
        <v>0</v>
      </c>
      <c r="AZ51" s="225">
        <f t="shared" si="23"/>
        <v>-5518.5</v>
      </c>
      <c r="BA51" s="225">
        <f t="shared" si="24"/>
        <v>-780</v>
      </c>
      <c r="BB51" s="225">
        <f t="shared" si="25"/>
        <v>0</v>
      </c>
      <c r="BC51" s="225">
        <f t="shared" si="26"/>
        <v>0</v>
      </c>
      <c r="BD51" s="225">
        <f t="shared" si="27"/>
        <v>-610.34999999999968</v>
      </c>
      <c r="BE51" s="225">
        <f t="shared" si="28"/>
        <v>-6908.8499999999995</v>
      </c>
      <c r="BF51" s="225">
        <f t="shared" si="29"/>
        <v>0</v>
      </c>
      <c r="BG51" s="225">
        <f t="shared" si="2"/>
        <v>0</v>
      </c>
      <c r="BH51" s="225">
        <f t="shared" si="3"/>
        <v>0</v>
      </c>
      <c r="BI51" s="225">
        <f t="shared" si="4"/>
        <v>220.73999999999796</v>
      </c>
      <c r="BJ51" s="225">
        <f t="shared" si="5"/>
        <v>-312</v>
      </c>
      <c r="BK51" s="225">
        <f t="shared" si="6"/>
        <v>0</v>
      </c>
      <c r="BL51" s="225">
        <f t="shared" si="7"/>
        <v>0</v>
      </c>
      <c r="BM51" s="225">
        <f t="shared" si="8"/>
        <v>-215.66999999999985</v>
      </c>
      <c r="BN51" s="225">
        <f t="shared" si="30"/>
        <v>-306.93000000000188</v>
      </c>
      <c r="BO51" s="225">
        <f t="shared" si="9"/>
        <v>0</v>
      </c>
      <c r="BP51" s="225"/>
      <c r="BQ51" s="225"/>
      <c r="BR51" s="225"/>
      <c r="BS51" s="225"/>
      <c r="BT51" s="225"/>
      <c r="BU51" s="225"/>
      <c r="BV51" s="225"/>
      <c r="BW51" s="225"/>
      <c r="BY51" s="176"/>
      <c r="BZ51" s="176"/>
      <c r="CA51" s="176"/>
      <c r="CB51" s="176"/>
      <c r="CC51" s="176"/>
      <c r="CD51" s="176"/>
      <c r="CE51" s="176"/>
      <c r="CF51" s="176"/>
      <c r="CH51" s="248"/>
      <c r="CI51" s="248"/>
      <c r="CJ51" s="248"/>
      <c r="CK51" s="248"/>
      <c r="CL51" s="248"/>
      <c r="CM51" s="248"/>
      <c r="CN51" s="248"/>
      <c r="CO51" s="248"/>
      <c r="CQ51" s="248"/>
      <c r="CR51" s="248"/>
      <c r="CS51" s="248"/>
      <c r="CT51" s="248"/>
      <c r="CU51" s="248"/>
      <c r="CV51" s="248"/>
      <c r="CW51" s="248"/>
      <c r="CX51" s="248"/>
      <c r="CY51" s="248"/>
      <c r="DA51" s="248"/>
      <c r="DB51" s="248"/>
      <c r="DC51" s="248"/>
      <c r="DD51" s="248"/>
      <c r="DE51" s="248"/>
      <c r="DF51" s="248"/>
      <c r="DG51" s="248"/>
      <c r="DH51" s="248"/>
      <c r="DJ51" s="179" t="e">
        <f>#REF!+((SUMIFS($F51:$AM51,$F$3:$AM$3,$DJ$7)*80%))+SUMIFS(#REF!,#REF!,$DJ$7)</f>
        <v>#REF!</v>
      </c>
      <c r="DK51" s="179">
        <f t="shared" si="32"/>
        <v>0</v>
      </c>
      <c r="DL51" s="173" t="e">
        <f t="shared" si="31"/>
        <v>#REF!</v>
      </c>
    </row>
    <row r="52" spans="1:116">
      <c r="A52" s="168">
        <v>2299</v>
      </c>
      <c r="B52" s="2">
        <v>140706</v>
      </c>
      <c r="C52" s="2" t="s">
        <v>256</v>
      </c>
      <c r="D52" s="30"/>
      <c r="E52" s="226"/>
      <c r="F52" s="176">
        <v>0</v>
      </c>
      <c r="G52" s="176">
        <v>0</v>
      </c>
      <c r="H52" s="176">
        <v>84984.900000000009</v>
      </c>
      <c r="I52" s="176">
        <v>4095</v>
      </c>
      <c r="J52" s="176">
        <v>0</v>
      </c>
      <c r="K52" s="176">
        <v>0</v>
      </c>
      <c r="L52" s="30">
        <f t="shared" si="11"/>
        <v>89079.900000000009</v>
      </c>
      <c r="M52" s="176">
        <f t="shared" si="12"/>
        <v>71263.920000000013</v>
      </c>
      <c r="N52" s="226"/>
      <c r="O52" s="176">
        <v>0</v>
      </c>
      <c r="P52" s="176">
        <v>0</v>
      </c>
      <c r="Q52" s="176">
        <v>59599.8</v>
      </c>
      <c r="R52" s="176">
        <v>390</v>
      </c>
      <c r="S52" s="176">
        <v>0</v>
      </c>
      <c r="T52" s="176">
        <v>0</v>
      </c>
      <c r="U52" s="176">
        <f t="shared" si="13"/>
        <v>59989.8</v>
      </c>
      <c r="V52" s="176">
        <f t="shared" si="14"/>
        <v>47991.840000000004</v>
      </c>
      <c r="W52" s="226"/>
      <c r="X52" s="247"/>
      <c r="Y52" s="176">
        <v>0</v>
      </c>
      <c r="Z52" s="176">
        <v>66597.347368421062</v>
      </c>
      <c r="AA52" s="176">
        <v>2330.5263157894738</v>
      </c>
      <c r="AB52" s="176">
        <v>21.739612188365648</v>
      </c>
      <c r="AC52" s="176">
        <v>0</v>
      </c>
      <c r="AD52" s="176">
        <f t="shared" si="15"/>
        <v>68949.613296398908</v>
      </c>
      <c r="AE52" s="247">
        <f t="shared" si="16"/>
        <v>55159.690637119129</v>
      </c>
      <c r="AF52" s="226"/>
      <c r="AG52" s="247">
        <v>1288.95</v>
      </c>
      <c r="AH52" s="247">
        <v>740.99999999999989</v>
      </c>
      <c r="AI52" s="247">
        <v>932.77894736842097</v>
      </c>
      <c r="AJ52" s="226"/>
      <c r="AK52" s="247">
        <f t="shared" si="17"/>
        <v>1031.1600000000001</v>
      </c>
      <c r="AL52" s="247">
        <f t="shared" si="18"/>
        <v>592.79999999999995</v>
      </c>
      <c r="AM52" s="247">
        <f t="shared" si="19"/>
        <v>746.2231578947368</v>
      </c>
      <c r="AN52" s="225"/>
      <c r="AO52" s="225">
        <v>0</v>
      </c>
      <c r="AP52" s="225">
        <v>0</v>
      </c>
      <c r="AQ52" s="225">
        <v>83881.200000000012</v>
      </c>
      <c r="AR52" s="225">
        <v>3705</v>
      </c>
      <c r="AS52" s="225">
        <v>0</v>
      </c>
      <c r="AT52" s="225">
        <v>0</v>
      </c>
      <c r="AU52" s="225">
        <v>885.3</v>
      </c>
      <c r="AV52" s="225">
        <f t="shared" si="20"/>
        <v>88471.500000000015</v>
      </c>
      <c r="AX52" s="225">
        <f t="shared" si="21"/>
        <v>0</v>
      </c>
      <c r="AY52" s="225">
        <f t="shared" si="22"/>
        <v>0</v>
      </c>
      <c r="AZ52" s="225">
        <f t="shared" si="23"/>
        <v>-1103.6999999999971</v>
      </c>
      <c r="BA52" s="225">
        <f t="shared" si="24"/>
        <v>-390</v>
      </c>
      <c r="BB52" s="225">
        <f t="shared" si="25"/>
        <v>0</v>
      </c>
      <c r="BC52" s="225">
        <f t="shared" si="26"/>
        <v>0</v>
      </c>
      <c r="BD52" s="225">
        <f t="shared" si="27"/>
        <v>-403.65000000000009</v>
      </c>
      <c r="BE52" s="225">
        <f t="shared" si="28"/>
        <v>-1897.3499999999972</v>
      </c>
      <c r="BF52" s="225">
        <f t="shared" si="29"/>
        <v>0</v>
      </c>
      <c r="BG52" s="225">
        <f t="shared" si="2"/>
        <v>0</v>
      </c>
      <c r="BH52" s="225">
        <f t="shared" si="3"/>
        <v>0</v>
      </c>
      <c r="BI52" s="225">
        <f t="shared" si="4"/>
        <v>15893.279999999999</v>
      </c>
      <c r="BJ52" s="225">
        <f t="shared" si="5"/>
        <v>429</v>
      </c>
      <c r="BK52" s="225">
        <f t="shared" si="6"/>
        <v>0</v>
      </c>
      <c r="BL52" s="225">
        <f t="shared" si="7"/>
        <v>0</v>
      </c>
      <c r="BM52" s="225">
        <f t="shared" si="8"/>
        <v>-145.86000000000013</v>
      </c>
      <c r="BN52" s="225">
        <f t="shared" si="30"/>
        <v>16176.419999999998</v>
      </c>
      <c r="BO52" s="225">
        <f t="shared" si="9"/>
        <v>0</v>
      </c>
      <c r="BP52" s="225"/>
      <c r="BQ52" s="225"/>
      <c r="BR52" s="225"/>
      <c r="BS52" s="225"/>
      <c r="BT52" s="225"/>
      <c r="BU52" s="225"/>
      <c r="BV52" s="225"/>
      <c r="BW52" s="225"/>
      <c r="BY52" s="176"/>
      <c r="BZ52" s="176"/>
      <c r="CA52" s="176"/>
      <c r="CB52" s="176"/>
      <c r="CC52" s="176"/>
      <c r="CD52" s="176"/>
      <c r="CE52" s="176"/>
      <c r="CF52" s="176"/>
      <c r="CH52" s="248"/>
      <c r="CI52" s="248"/>
      <c r="CJ52" s="248"/>
      <c r="CK52" s="248"/>
      <c r="CL52" s="248"/>
      <c r="CM52" s="248"/>
      <c r="CN52" s="248"/>
      <c r="CO52" s="248"/>
      <c r="CQ52" s="248"/>
      <c r="CR52" s="248"/>
      <c r="CS52" s="248"/>
      <c r="CT52" s="248"/>
      <c r="CU52" s="248"/>
      <c r="CV52" s="248"/>
      <c r="CW52" s="248"/>
      <c r="CX52" s="248"/>
      <c r="CY52" s="248"/>
      <c r="DA52" s="248"/>
      <c r="DB52" s="248"/>
      <c r="DC52" s="248"/>
      <c r="DD52" s="248"/>
      <c r="DE52" s="248"/>
      <c r="DF52" s="248"/>
      <c r="DG52" s="248"/>
      <c r="DH52" s="248"/>
      <c r="DJ52" s="179" t="e">
        <f>#REF!+((SUMIFS($F52:$AM52,$F$3:$AM$3,$DJ$7)*80%))+SUMIFS(#REF!,#REF!,$DJ$7)</f>
        <v>#REF!</v>
      </c>
      <c r="DK52" s="179">
        <f t="shared" si="32"/>
        <v>0</v>
      </c>
      <c r="DL52" s="173" t="e">
        <f t="shared" si="31"/>
        <v>#REF!</v>
      </c>
    </row>
    <row r="53" spans="1:116">
      <c r="A53" s="168">
        <v>2191</v>
      </c>
      <c r="B53" s="2">
        <v>151017</v>
      </c>
      <c r="C53" s="2" t="s">
        <v>149</v>
      </c>
      <c r="D53" s="30"/>
      <c r="E53" s="226"/>
      <c r="F53" s="176">
        <v>0</v>
      </c>
      <c r="G53" s="176">
        <v>0</v>
      </c>
      <c r="H53" s="176">
        <v>33111</v>
      </c>
      <c r="I53" s="176">
        <v>1755</v>
      </c>
      <c r="J53" s="176">
        <v>0</v>
      </c>
      <c r="K53" s="176">
        <v>320.89473684210526</v>
      </c>
      <c r="L53" s="30">
        <f t="shared" si="11"/>
        <v>35186.894736842107</v>
      </c>
      <c r="M53" s="176">
        <f t="shared" si="12"/>
        <v>28149.515789473688</v>
      </c>
      <c r="N53" s="226"/>
      <c r="O53" s="176">
        <v>0</v>
      </c>
      <c r="P53" s="176">
        <v>0</v>
      </c>
      <c r="Q53" s="176">
        <v>22074.000000000004</v>
      </c>
      <c r="R53" s="176">
        <v>1365</v>
      </c>
      <c r="S53" s="176">
        <v>0</v>
      </c>
      <c r="T53" s="176">
        <v>0</v>
      </c>
      <c r="U53" s="176">
        <f t="shared" si="13"/>
        <v>23439.000000000004</v>
      </c>
      <c r="V53" s="176">
        <f t="shared" si="14"/>
        <v>18751.200000000004</v>
      </c>
      <c r="W53" s="226"/>
      <c r="X53" s="247"/>
      <c r="Y53" s="176">
        <v>0</v>
      </c>
      <c r="Z53" s="176">
        <v>25094.652631578945</v>
      </c>
      <c r="AA53" s="176">
        <v>1364.2105263157894</v>
      </c>
      <c r="AB53" s="176">
        <v>0</v>
      </c>
      <c r="AC53" s="176">
        <v>187.0803324099723</v>
      </c>
      <c r="AD53" s="176">
        <f t="shared" si="15"/>
        <v>26645.943490304708</v>
      </c>
      <c r="AE53" s="247">
        <f t="shared" si="16"/>
        <v>21316.754792243766</v>
      </c>
      <c r="AF53" s="226"/>
      <c r="AG53" s="247">
        <v>1335.75</v>
      </c>
      <c r="AH53" s="247">
        <v>1004.25</v>
      </c>
      <c r="AI53" s="247">
        <v>1062.378947368421</v>
      </c>
      <c r="AJ53" s="226"/>
      <c r="AK53" s="247">
        <f t="shared" si="17"/>
        <v>1068.6000000000001</v>
      </c>
      <c r="AL53" s="247">
        <f t="shared" si="18"/>
        <v>803.40000000000009</v>
      </c>
      <c r="AM53" s="247">
        <f t="shared" si="19"/>
        <v>849.90315789473686</v>
      </c>
      <c r="AN53" s="225"/>
      <c r="AO53" s="225">
        <v>0</v>
      </c>
      <c r="AP53" s="225">
        <v>0</v>
      </c>
      <c r="AQ53" s="225">
        <v>32007.3</v>
      </c>
      <c r="AR53" s="225">
        <v>2145</v>
      </c>
      <c r="AS53" s="225">
        <v>298.31578947368422</v>
      </c>
      <c r="AT53" s="225">
        <v>0</v>
      </c>
      <c r="AU53" s="225">
        <v>1288.95</v>
      </c>
      <c r="AV53" s="225">
        <f t="shared" si="20"/>
        <v>35739.565789473687</v>
      </c>
      <c r="AX53" s="225">
        <f t="shared" si="21"/>
        <v>0</v>
      </c>
      <c r="AY53" s="225">
        <f t="shared" si="22"/>
        <v>0</v>
      </c>
      <c r="AZ53" s="225">
        <f t="shared" si="23"/>
        <v>-1103.7000000000007</v>
      </c>
      <c r="BA53" s="225">
        <f t="shared" si="24"/>
        <v>390</v>
      </c>
      <c r="BB53" s="225">
        <f t="shared" si="25"/>
        <v>298.31578947368422</v>
      </c>
      <c r="BC53" s="225">
        <f t="shared" si="26"/>
        <v>-320.89473684210526</v>
      </c>
      <c r="BD53" s="225">
        <f t="shared" si="27"/>
        <v>-46.799999999999955</v>
      </c>
      <c r="BE53" s="225">
        <f t="shared" si="28"/>
        <v>-783.07894736842172</v>
      </c>
      <c r="BF53" s="225">
        <f t="shared" si="29"/>
        <v>0</v>
      </c>
      <c r="BG53" s="225">
        <f t="shared" si="2"/>
        <v>0</v>
      </c>
      <c r="BH53" s="225">
        <f t="shared" si="3"/>
        <v>0</v>
      </c>
      <c r="BI53" s="225">
        <f t="shared" si="4"/>
        <v>5518.4999999999964</v>
      </c>
      <c r="BJ53" s="225">
        <f t="shared" si="5"/>
        <v>741</v>
      </c>
      <c r="BK53" s="225">
        <f t="shared" si="6"/>
        <v>298.31578947368422</v>
      </c>
      <c r="BL53" s="225">
        <f t="shared" si="7"/>
        <v>-256.7157894736842</v>
      </c>
      <c r="BM53" s="225">
        <f t="shared" si="8"/>
        <v>220.34999999999991</v>
      </c>
      <c r="BN53" s="225">
        <f t="shared" si="30"/>
        <v>6521.4499999999971</v>
      </c>
      <c r="BO53" s="225">
        <f t="shared" si="9"/>
        <v>0</v>
      </c>
      <c r="BP53" s="225"/>
      <c r="BQ53" s="225"/>
      <c r="BR53" s="225"/>
      <c r="BS53" s="225"/>
      <c r="BT53" s="225"/>
      <c r="BU53" s="225"/>
      <c r="BV53" s="225"/>
      <c r="BW53" s="225"/>
      <c r="BY53" s="176"/>
      <c r="BZ53" s="176"/>
      <c r="CA53" s="176"/>
      <c r="CB53" s="176"/>
      <c r="CC53" s="176"/>
      <c r="CD53" s="176"/>
      <c r="CE53" s="176"/>
      <c r="CF53" s="176"/>
      <c r="CH53" s="248"/>
      <c r="CI53" s="248"/>
      <c r="CJ53" s="248"/>
      <c r="CK53" s="248"/>
      <c r="CL53" s="248"/>
      <c r="CM53" s="248"/>
      <c r="CN53" s="248"/>
      <c r="CO53" s="248"/>
      <c r="CQ53" s="248"/>
      <c r="CR53" s="248"/>
      <c r="CS53" s="248"/>
      <c r="CT53" s="248"/>
      <c r="CU53" s="248"/>
      <c r="CV53" s="248"/>
      <c r="CW53" s="248"/>
      <c r="CX53" s="248"/>
      <c r="CY53" s="248"/>
      <c r="DA53" s="248"/>
      <c r="DB53" s="248"/>
      <c r="DC53" s="248"/>
      <c r="DD53" s="248"/>
      <c r="DE53" s="248"/>
      <c r="DF53" s="248"/>
      <c r="DG53" s="248"/>
      <c r="DH53" s="248"/>
      <c r="DJ53" s="179" t="e">
        <f>#REF!+((SUMIFS($F53:$AM53,$F$3:$AM$3,$DJ$7)*80%))+SUMIFS(#REF!,#REF!,$DJ$7)</f>
        <v>#REF!</v>
      </c>
      <c r="DK53" s="179">
        <f t="shared" si="32"/>
        <v>406.38005540166205</v>
      </c>
      <c r="DL53" s="173" t="e">
        <f t="shared" si="31"/>
        <v>#REF!</v>
      </c>
    </row>
    <row r="54" spans="1:116">
      <c r="A54" s="168">
        <v>2060</v>
      </c>
      <c r="B54" s="2">
        <v>143563</v>
      </c>
      <c r="C54" s="2" t="s">
        <v>257</v>
      </c>
      <c r="D54" s="30"/>
      <c r="E54" s="226"/>
      <c r="F54" s="176">
        <v>0</v>
      </c>
      <c r="G54" s="176">
        <v>0</v>
      </c>
      <c r="H54" s="176">
        <v>33111</v>
      </c>
      <c r="I54" s="176">
        <v>3315</v>
      </c>
      <c r="J54" s="176">
        <v>1267.8421052631579</v>
      </c>
      <c r="K54" s="176">
        <v>0</v>
      </c>
      <c r="L54" s="30">
        <f t="shared" si="11"/>
        <v>37693.84210526316</v>
      </c>
      <c r="M54" s="176">
        <f t="shared" si="12"/>
        <v>30155.073684210529</v>
      </c>
      <c r="N54" s="226"/>
      <c r="O54" s="176">
        <v>0</v>
      </c>
      <c r="P54" s="176">
        <v>0</v>
      </c>
      <c r="Q54" s="176">
        <v>19866.600000000002</v>
      </c>
      <c r="R54" s="176">
        <v>1950</v>
      </c>
      <c r="S54" s="176">
        <v>745.78947368421052</v>
      </c>
      <c r="T54" s="176">
        <v>0</v>
      </c>
      <c r="U54" s="176">
        <f t="shared" si="13"/>
        <v>22562.389473684212</v>
      </c>
      <c r="V54" s="176">
        <f t="shared" si="14"/>
        <v>18049.911578947369</v>
      </c>
      <c r="W54" s="226"/>
      <c r="X54" s="247"/>
      <c r="Y54" s="176">
        <v>0</v>
      </c>
      <c r="Z54" s="176">
        <v>25094.652631578952</v>
      </c>
      <c r="AA54" s="176">
        <v>2444.2105263157891</v>
      </c>
      <c r="AB54" s="176">
        <v>934.80332409972289</v>
      </c>
      <c r="AC54" s="176">
        <v>0</v>
      </c>
      <c r="AD54" s="176">
        <f t="shared" si="15"/>
        <v>28473.666481994464</v>
      </c>
      <c r="AE54" s="247">
        <f t="shared" si="16"/>
        <v>22778.933185595572</v>
      </c>
      <c r="AF54" s="226"/>
      <c r="AG54" s="247">
        <v>3137.5499999999997</v>
      </c>
      <c r="AH54" s="247">
        <v>2078.6999999999998</v>
      </c>
      <c r="AI54" s="247">
        <v>2469.7894736842104</v>
      </c>
      <c r="AJ54" s="226"/>
      <c r="AK54" s="247">
        <f t="shared" si="17"/>
        <v>2510.04</v>
      </c>
      <c r="AL54" s="247">
        <f t="shared" si="18"/>
        <v>1662.96</v>
      </c>
      <c r="AM54" s="247">
        <f t="shared" si="19"/>
        <v>1975.8315789473684</v>
      </c>
      <c r="AN54" s="225"/>
      <c r="AO54" s="225">
        <v>0</v>
      </c>
      <c r="AP54" s="225">
        <v>0</v>
      </c>
      <c r="AQ54" s="225">
        <v>19866.600000000002</v>
      </c>
      <c r="AR54" s="225">
        <v>2340</v>
      </c>
      <c r="AS54" s="225">
        <v>894.94736842105272</v>
      </c>
      <c r="AT54" s="225">
        <v>0</v>
      </c>
      <c r="AU54" s="225">
        <v>1959.75</v>
      </c>
      <c r="AV54" s="225">
        <f t="shared" si="20"/>
        <v>25061.297368421056</v>
      </c>
      <c r="AX54" s="225">
        <f t="shared" si="21"/>
        <v>0</v>
      </c>
      <c r="AY54" s="225">
        <f t="shared" si="22"/>
        <v>0</v>
      </c>
      <c r="AZ54" s="225">
        <f t="shared" si="23"/>
        <v>-13244.399999999998</v>
      </c>
      <c r="BA54" s="225">
        <f t="shared" si="24"/>
        <v>-975</v>
      </c>
      <c r="BB54" s="225">
        <f t="shared" si="25"/>
        <v>-372.8947368421052</v>
      </c>
      <c r="BC54" s="225">
        <f t="shared" si="26"/>
        <v>0</v>
      </c>
      <c r="BD54" s="225">
        <f t="shared" si="27"/>
        <v>-1177.7999999999997</v>
      </c>
      <c r="BE54" s="225">
        <f t="shared" si="28"/>
        <v>-15770.094736842102</v>
      </c>
      <c r="BF54" s="225">
        <f t="shared" si="29"/>
        <v>0</v>
      </c>
      <c r="BG54" s="225">
        <f t="shared" si="2"/>
        <v>0</v>
      </c>
      <c r="BH54" s="225">
        <f t="shared" si="3"/>
        <v>0</v>
      </c>
      <c r="BI54" s="225">
        <f t="shared" si="4"/>
        <v>-6622.2000000000007</v>
      </c>
      <c r="BJ54" s="225">
        <f t="shared" si="5"/>
        <v>-312</v>
      </c>
      <c r="BK54" s="225">
        <f t="shared" si="6"/>
        <v>-119.32631578947371</v>
      </c>
      <c r="BL54" s="225">
        <f t="shared" si="7"/>
        <v>0</v>
      </c>
      <c r="BM54" s="225">
        <f t="shared" si="8"/>
        <v>-550.29</v>
      </c>
      <c r="BN54" s="225">
        <f t="shared" si="30"/>
        <v>-7603.8163157894742</v>
      </c>
      <c r="BO54" s="225">
        <f t="shared" si="9"/>
        <v>0</v>
      </c>
      <c r="BP54" s="225"/>
      <c r="BQ54" s="225"/>
      <c r="BR54" s="225"/>
      <c r="BS54" s="225"/>
      <c r="BT54" s="225"/>
      <c r="BU54" s="225"/>
      <c r="BV54" s="225"/>
      <c r="BW54" s="225"/>
      <c r="BY54" s="176"/>
      <c r="BZ54" s="176"/>
      <c r="CA54" s="176"/>
      <c r="CB54" s="176"/>
      <c r="CC54" s="176"/>
      <c r="CD54" s="176"/>
      <c r="CE54" s="176"/>
      <c r="CF54" s="176"/>
      <c r="CH54" s="248"/>
      <c r="CI54" s="248"/>
      <c r="CJ54" s="248"/>
      <c r="CK54" s="248"/>
      <c r="CL54" s="248"/>
      <c r="CM54" s="248"/>
      <c r="CN54" s="248"/>
      <c r="CO54" s="248"/>
      <c r="CQ54" s="248"/>
      <c r="CR54" s="248"/>
      <c r="CS54" s="248"/>
      <c r="CT54" s="248"/>
      <c r="CU54" s="248"/>
      <c r="CV54" s="248"/>
      <c r="CW54" s="248"/>
      <c r="CX54" s="248"/>
      <c r="CY54" s="248"/>
      <c r="DA54" s="248"/>
      <c r="DB54" s="248"/>
      <c r="DC54" s="248"/>
      <c r="DD54" s="248"/>
      <c r="DE54" s="248"/>
      <c r="DF54" s="248"/>
      <c r="DG54" s="248"/>
      <c r="DH54" s="248"/>
      <c r="DJ54" s="179" t="e">
        <f>#REF!+((SUMIFS($F54:$AM54,$F$3:$AM$3,$DJ$7)*80%))+SUMIFS(#REF!,#REF!,$DJ$7)</f>
        <v>#REF!</v>
      </c>
      <c r="DK54" s="179">
        <f t="shared" si="32"/>
        <v>0</v>
      </c>
      <c r="DL54" s="173" t="e">
        <f t="shared" si="31"/>
        <v>#REF!</v>
      </c>
    </row>
    <row r="55" spans="1:116">
      <c r="A55" s="168">
        <v>4129</v>
      </c>
      <c r="B55" s="2">
        <v>143438</v>
      </c>
      <c r="C55" s="2" t="s">
        <v>258</v>
      </c>
      <c r="D55" s="30"/>
      <c r="E55" s="226"/>
      <c r="F55" s="176">
        <v>0</v>
      </c>
      <c r="G55" s="176">
        <v>0</v>
      </c>
      <c r="H55" s="176">
        <v>0</v>
      </c>
      <c r="I55" s="176">
        <v>0</v>
      </c>
      <c r="J55" s="176">
        <v>0</v>
      </c>
      <c r="K55" s="176">
        <v>0</v>
      </c>
      <c r="L55" s="30">
        <f t="shared" si="11"/>
        <v>0</v>
      </c>
      <c r="M55" s="176">
        <f t="shared" si="12"/>
        <v>0</v>
      </c>
      <c r="N55" s="226"/>
      <c r="O55" s="176">
        <v>0</v>
      </c>
      <c r="P55" s="176">
        <v>0</v>
      </c>
      <c r="Q55" s="176">
        <v>0</v>
      </c>
      <c r="R55" s="176">
        <v>0</v>
      </c>
      <c r="S55" s="176">
        <v>0</v>
      </c>
      <c r="T55" s="176">
        <v>0</v>
      </c>
      <c r="U55" s="176">
        <f t="shared" si="13"/>
        <v>0</v>
      </c>
      <c r="V55" s="176">
        <f t="shared" si="14"/>
        <v>0</v>
      </c>
      <c r="W55" s="226"/>
      <c r="X55" s="247"/>
      <c r="Y55" s="176">
        <v>0</v>
      </c>
      <c r="Z55" s="176">
        <v>0</v>
      </c>
      <c r="AA55" s="176">
        <v>0</v>
      </c>
      <c r="AB55" s="176">
        <v>0</v>
      </c>
      <c r="AC55" s="176">
        <v>0</v>
      </c>
      <c r="AD55" s="176">
        <f t="shared" si="15"/>
        <v>0</v>
      </c>
      <c r="AE55" s="247">
        <f t="shared" si="16"/>
        <v>0</v>
      </c>
      <c r="AF55" s="226"/>
      <c r="AG55" s="247">
        <v>0</v>
      </c>
      <c r="AH55" s="247">
        <v>0</v>
      </c>
      <c r="AI55" s="247">
        <v>0</v>
      </c>
      <c r="AJ55" s="226"/>
      <c r="AK55" s="247">
        <f t="shared" si="17"/>
        <v>0</v>
      </c>
      <c r="AL55" s="247">
        <f t="shared" si="18"/>
        <v>0</v>
      </c>
      <c r="AM55" s="247">
        <f t="shared" si="19"/>
        <v>0</v>
      </c>
      <c r="AN55" s="225"/>
      <c r="AO55" s="225">
        <v>0</v>
      </c>
      <c r="AP55" s="225">
        <v>0</v>
      </c>
      <c r="AQ55" s="225">
        <v>0</v>
      </c>
      <c r="AR55" s="225">
        <v>0</v>
      </c>
      <c r="AS55" s="225">
        <v>0</v>
      </c>
      <c r="AT55" s="225">
        <v>0</v>
      </c>
      <c r="AU55" s="225">
        <v>0</v>
      </c>
      <c r="AV55" s="225">
        <f t="shared" si="20"/>
        <v>0</v>
      </c>
      <c r="AX55" s="225">
        <f t="shared" si="21"/>
        <v>0</v>
      </c>
      <c r="AY55" s="225">
        <f t="shared" si="22"/>
        <v>0</v>
      </c>
      <c r="AZ55" s="225">
        <f t="shared" si="23"/>
        <v>0</v>
      </c>
      <c r="BA55" s="225">
        <f t="shared" si="24"/>
        <v>0</v>
      </c>
      <c r="BB55" s="225">
        <f t="shared" si="25"/>
        <v>0</v>
      </c>
      <c r="BC55" s="225">
        <f t="shared" si="26"/>
        <v>0</v>
      </c>
      <c r="BD55" s="225">
        <f t="shared" si="27"/>
        <v>0</v>
      </c>
      <c r="BE55" s="225">
        <f t="shared" si="28"/>
        <v>0</v>
      </c>
      <c r="BF55" s="225">
        <f t="shared" si="29"/>
        <v>0</v>
      </c>
      <c r="BG55" s="225">
        <f t="shared" si="2"/>
        <v>0</v>
      </c>
      <c r="BH55" s="225">
        <f t="shared" si="3"/>
        <v>0</v>
      </c>
      <c r="BI55" s="225">
        <f t="shared" si="4"/>
        <v>0</v>
      </c>
      <c r="BJ55" s="225">
        <f t="shared" si="5"/>
        <v>0</v>
      </c>
      <c r="BK55" s="225">
        <f t="shared" si="6"/>
        <v>0</v>
      </c>
      <c r="BL55" s="225">
        <f t="shared" si="7"/>
        <v>0</v>
      </c>
      <c r="BM55" s="225">
        <f t="shared" si="8"/>
        <v>0</v>
      </c>
      <c r="BN55" s="225">
        <f t="shared" si="30"/>
        <v>0</v>
      </c>
      <c r="BO55" s="225">
        <f t="shared" si="9"/>
        <v>0</v>
      </c>
      <c r="BP55" s="225"/>
      <c r="BQ55" s="225"/>
      <c r="BR55" s="225"/>
      <c r="BS55" s="225"/>
      <c r="BT55" s="225"/>
      <c r="BU55" s="225"/>
      <c r="BV55" s="225"/>
      <c r="BW55" s="225"/>
      <c r="BY55" s="176"/>
      <c r="BZ55" s="176"/>
      <c r="CA55" s="176"/>
      <c r="CB55" s="176"/>
      <c r="CC55" s="176"/>
      <c r="CD55" s="176"/>
      <c r="CE55" s="176"/>
      <c r="CF55" s="176"/>
      <c r="CH55" s="248"/>
      <c r="CI55" s="248"/>
      <c r="CJ55" s="248"/>
      <c r="CK55" s="248"/>
      <c r="CL55" s="248"/>
      <c r="CM55" s="248"/>
      <c r="CN55" s="248"/>
      <c r="CO55" s="248"/>
      <c r="CQ55" s="248"/>
      <c r="CR55" s="248"/>
      <c r="CS55" s="248"/>
      <c r="CT55" s="248"/>
      <c r="CU55" s="248"/>
      <c r="CV55" s="248"/>
      <c r="CW55" s="248"/>
      <c r="CX55" s="248"/>
      <c r="CY55" s="248"/>
      <c r="DA55" s="248"/>
      <c r="DB55" s="248"/>
      <c r="DC55" s="248"/>
      <c r="DD55" s="248"/>
      <c r="DE55" s="248"/>
      <c r="DF55" s="248"/>
      <c r="DG55" s="248"/>
      <c r="DH55" s="248"/>
      <c r="DJ55" s="179" t="e">
        <f>#REF!+((SUMIFS($F55:$AM55,$F$3:$AM$3,$DJ$7)*80%))+SUMIFS(#REF!,#REF!,$DJ$7)</f>
        <v>#REF!</v>
      </c>
      <c r="DK55" s="179">
        <f t="shared" si="32"/>
        <v>0</v>
      </c>
      <c r="DL55" s="173" t="e">
        <f t="shared" si="31"/>
        <v>#REF!</v>
      </c>
    </row>
    <row r="56" spans="1:116">
      <c r="A56" s="168">
        <v>2219</v>
      </c>
      <c r="B56" s="2">
        <v>150709</v>
      </c>
      <c r="C56" s="2" t="s">
        <v>150</v>
      </c>
      <c r="D56" s="30"/>
      <c r="E56" s="226"/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30">
        <f t="shared" si="11"/>
        <v>0</v>
      </c>
      <c r="M56" s="176">
        <f t="shared" si="12"/>
        <v>0</v>
      </c>
      <c r="N56" s="226"/>
      <c r="O56" s="176">
        <v>0</v>
      </c>
      <c r="P56" s="176">
        <v>0</v>
      </c>
      <c r="Q56" s="176">
        <v>0</v>
      </c>
      <c r="R56" s="176">
        <v>0</v>
      </c>
      <c r="S56" s="176">
        <v>0</v>
      </c>
      <c r="T56" s="176">
        <v>0</v>
      </c>
      <c r="U56" s="176">
        <f t="shared" si="13"/>
        <v>0</v>
      </c>
      <c r="V56" s="176">
        <f t="shared" si="14"/>
        <v>0</v>
      </c>
      <c r="W56" s="226"/>
      <c r="X56" s="247"/>
      <c r="Y56" s="176">
        <v>0</v>
      </c>
      <c r="Z56" s="176">
        <v>0</v>
      </c>
      <c r="AA56" s="176">
        <v>0</v>
      </c>
      <c r="AB56" s="176">
        <v>0</v>
      </c>
      <c r="AC56" s="176">
        <v>0</v>
      </c>
      <c r="AD56" s="176">
        <f t="shared" si="15"/>
        <v>0</v>
      </c>
      <c r="AE56" s="247">
        <f t="shared" si="16"/>
        <v>0</v>
      </c>
      <c r="AF56" s="226"/>
      <c r="AG56" s="247">
        <v>0</v>
      </c>
      <c r="AH56" s="247">
        <v>0</v>
      </c>
      <c r="AI56" s="247">
        <v>0</v>
      </c>
      <c r="AJ56" s="226"/>
      <c r="AK56" s="247">
        <f t="shared" si="17"/>
        <v>0</v>
      </c>
      <c r="AL56" s="247">
        <f t="shared" si="18"/>
        <v>0</v>
      </c>
      <c r="AM56" s="247">
        <f t="shared" si="19"/>
        <v>0</v>
      </c>
      <c r="AN56" s="225"/>
      <c r="AO56" s="225">
        <v>0</v>
      </c>
      <c r="AP56" s="225">
        <v>0</v>
      </c>
      <c r="AQ56" s="225">
        <v>0</v>
      </c>
      <c r="AR56" s="225">
        <v>0</v>
      </c>
      <c r="AS56" s="225">
        <v>0</v>
      </c>
      <c r="AT56" s="225">
        <v>0</v>
      </c>
      <c r="AU56" s="225">
        <v>0</v>
      </c>
      <c r="AV56" s="225">
        <f t="shared" si="20"/>
        <v>0</v>
      </c>
      <c r="AX56" s="225">
        <f t="shared" si="21"/>
        <v>0</v>
      </c>
      <c r="AY56" s="225">
        <f t="shared" si="22"/>
        <v>0</v>
      </c>
      <c r="AZ56" s="225">
        <f t="shared" si="23"/>
        <v>0</v>
      </c>
      <c r="BA56" s="225">
        <f t="shared" si="24"/>
        <v>0</v>
      </c>
      <c r="BB56" s="225">
        <f t="shared" si="25"/>
        <v>0</v>
      </c>
      <c r="BC56" s="225">
        <f t="shared" si="26"/>
        <v>0</v>
      </c>
      <c r="BD56" s="225">
        <f t="shared" si="27"/>
        <v>0</v>
      </c>
      <c r="BE56" s="225">
        <f t="shared" si="28"/>
        <v>0</v>
      </c>
      <c r="BF56" s="225">
        <f t="shared" si="29"/>
        <v>0</v>
      </c>
      <c r="BG56" s="225">
        <f t="shared" si="2"/>
        <v>0</v>
      </c>
      <c r="BH56" s="225">
        <f t="shared" si="3"/>
        <v>0</v>
      </c>
      <c r="BI56" s="225">
        <f t="shared" si="4"/>
        <v>0</v>
      </c>
      <c r="BJ56" s="225">
        <f t="shared" si="5"/>
        <v>0</v>
      </c>
      <c r="BK56" s="225">
        <f t="shared" si="6"/>
        <v>0</v>
      </c>
      <c r="BL56" s="225">
        <f t="shared" si="7"/>
        <v>0</v>
      </c>
      <c r="BM56" s="225">
        <f t="shared" si="8"/>
        <v>0</v>
      </c>
      <c r="BN56" s="225">
        <f t="shared" si="30"/>
        <v>0</v>
      </c>
      <c r="BO56" s="225">
        <f t="shared" si="9"/>
        <v>0</v>
      </c>
      <c r="BP56" s="225"/>
      <c r="BQ56" s="225"/>
      <c r="BR56" s="225"/>
      <c r="BS56" s="225"/>
      <c r="BT56" s="225"/>
      <c r="BU56" s="225"/>
      <c r="BV56" s="225"/>
      <c r="BW56" s="225"/>
      <c r="BY56" s="176"/>
      <c r="BZ56" s="176"/>
      <c r="CA56" s="176"/>
      <c r="CB56" s="176"/>
      <c r="CC56" s="176"/>
      <c r="CD56" s="176"/>
      <c r="CE56" s="176"/>
      <c r="CF56" s="176"/>
      <c r="CH56" s="248"/>
      <c r="CI56" s="248"/>
      <c r="CJ56" s="248"/>
      <c r="CK56" s="248"/>
      <c r="CL56" s="248"/>
      <c r="CM56" s="248"/>
      <c r="CN56" s="248"/>
      <c r="CO56" s="248"/>
      <c r="CQ56" s="248"/>
      <c r="CR56" s="248"/>
      <c r="CS56" s="248"/>
      <c r="CT56" s="248"/>
      <c r="CU56" s="248"/>
      <c r="CV56" s="248"/>
      <c r="CW56" s="248"/>
      <c r="CX56" s="248"/>
      <c r="CY56" s="248"/>
      <c r="DA56" s="248"/>
      <c r="DB56" s="248"/>
      <c r="DC56" s="248"/>
      <c r="DD56" s="248"/>
      <c r="DE56" s="248"/>
      <c r="DF56" s="248"/>
      <c r="DG56" s="248"/>
      <c r="DH56" s="248"/>
      <c r="DJ56" s="179" t="e">
        <f>#REF!+((SUMIFS($F56:$AM56,$F$3:$AM$3,$DJ$7)*80%))+SUMIFS(#REF!,#REF!,$DJ$7)</f>
        <v>#REF!</v>
      </c>
      <c r="DK56" s="179">
        <f t="shared" si="32"/>
        <v>0</v>
      </c>
      <c r="DL56" s="173" t="e">
        <f t="shared" si="31"/>
        <v>#REF!</v>
      </c>
    </row>
    <row r="57" spans="1:116">
      <c r="A57" s="168">
        <v>2065</v>
      </c>
      <c r="B57" s="2">
        <v>138218</v>
      </c>
      <c r="C57" s="2" t="s">
        <v>259</v>
      </c>
      <c r="D57" s="30"/>
      <c r="E57" s="226"/>
      <c r="F57" s="176">
        <v>0</v>
      </c>
      <c r="G57" s="176">
        <v>0</v>
      </c>
      <c r="H57" s="176">
        <v>45251.700000000004</v>
      </c>
      <c r="I57" s="176">
        <v>0</v>
      </c>
      <c r="J57" s="176">
        <v>0</v>
      </c>
      <c r="K57" s="176">
        <v>0</v>
      </c>
      <c r="L57" s="30">
        <f t="shared" si="11"/>
        <v>45251.700000000004</v>
      </c>
      <c r="M57" s="176">
        <f t="shared" si="12"/>
        <v>36201.360000000008</v>
      </c>
      <c r="N57" s="226"/>
      <c r="O57" s="176">
        <v>0</v>
      </c>
      <c r="P57" s="176">
        <v>0</v>
      </c>
      <c r="Q57" s="176">
        <v>40836.9</v>
      </c>
      <c r="R57" s="176">
        <v>195</v>
      </c>
      <c r="S57" s="176">
        <v>74.578947368421055</v>
      </c>
      <c r="T57" s="176">
        <v>0</v>
      </c>
      <c r="U57" s="176">
        <f t="shared" si="13"/>
        <v>41106.478947368421</v>
      </c>
      <c r="V57" s="176">
        <f t="shared" si="14"/>
        <v>32885.183157894739</v>
      </c>
      <c r="W57" s="226"/>
      <c r="X57" s="247"/>
      <c r="Y57" s="176">
        <v>0</v>
      </c>
      <c r="Z57" s="176">
        <v>38928.884210526317</v>
      </c>
      <c r="AA57" s="176">
        <v>56.84210526315789</v>
      </c>
      <c r="AB57" s="176">
        <v>21.739612188365648</v>
      </c>
      <c r="AC57" s="176">
        <v>0</v>
      </c>
      <c r="AD57" s="176">
        <f t="shared" si="15"/>
        <v>39007.465927977843</v>
      </c>
      <c r="AE57" s="247">
        <f t="shared" si="16"/>
        <v>31205.972742382277</v>
      </c>
      <c r="AF57" s="226"/>
      <c r="AG57" s="247">
        <v>31.2</v>
      </c>
      <c r="AH57" s="247">
        <v>87.75</v>
      </c>
      <c r="AI57" s="247">
        <v>43.768421052631581</v>
      </c>
      <c r="AJ57" s="226"/>
      <c r="AK57" s="247">
        <f t="shared" si="17"/>
        <v>24.96</v>
      </c>
      <c r="AL57" s="247">
        <f t="shared" si="18"/>
        <v>70.2</v>
      </c>
      <c r="AM57" s="247">
        <f t="shared" si="19"/>
        <v>35.014736842105265</v>
      </c>
      <c r="AN57" s="225"/>
      <c r="AO57" s="225">
        <v>0</v>
      </c>
      <c r="AP57" s="225">
        <v>0</v>
      </c>
      <c r="AQ57" s="225">
        <v>39733.200000000004</v>
      </c>
      <c r="AR57" s="225">
        <v>1365</v>
      </c>
      <c r="AS57" s="225">
        <v>522.0526315789474</v>
      </c>
      <c r="AT57" s="225">
        <v>0</v>
      </c>
      <c r="AU57" s="225">
        <v>103.35</v>
      </c>
      <c r="AV57" s="225">
        <f t="shared" si="20"/>
        <v>41723.60263157895</v>
      </c>
      <c r="AX57" s="225">
        <f t="shared" si="21"/>
        <v>0</v>
      </c>
      <c r="AY57" s="225">
        <f t="shared" si="22"/>
        <v>0</v>
      </c>
      <c r="AZ57" s="225">
        <f t="shared" si="23"/>
        <v>-5518.5</v>
      </c>
      <c r="BA57" s="225">
        <f t="shared" si="24"/>
        <v>1365</v>
      </c>
      <c r="BB57" s="225">
        <f t="shared" si="25"/>
        <v>522.0526315789474</v>
      </c>
      <c r="BC57" s="225">
        <f t="shared" si="26"/>
        <v>0</v>
      </c>
      <c r="BD57" s="225">
        <f t="shared" si="27"/>
        <v>72.149999999999991</v>
      </c>
      <c r="BE57" s="225">
        <f t="shared" si="28"/>
        <v>-3559.2973684210524</v>
      </c>
      <c r="BF57" s="225">
        <f t="shared" si="29"/>
        <v>0</v>
      </c>
      <c r="BG57" s="225">
        <f t="shared" si="2"/>
        <v>0</v>
      </c>
      <c r="BH57" s="225">
        <f t="shared" si="3"/>
        <v>0</v>
      </c>
      <c r="BI57" s="225">
        <f t="shared" si="4"/>
        <v>3531.8399999999965</v>
      </c>
      <c r="BJ57" s="225">
        <f t="shared" si="5"/>
        <v>1365</v>
      </c>
      <c r="BK57" s="225">
        <f t="shared" si="6"/>
        <v>522.0526315789474</v>
      </c>
      <c r="BL57" s="225">
        <f t="shared" si="7"/>
        <v>0</v>
      </c>
      <c r="BM57" s="225">
        <f t="shared" si="8"/>
        <v>78.389999999999986</v>
      </c>
      <c r="BN57" s="225">
        <f t="shared" si="30"/>
        <v>5497.2826315789443</v>
      </c>
      <c r="BO57" s="225">
        <f t="shared" si="9"/>
        <v>0</v>
      </c>
      <c r="BP57" s="225"/>
      <c r="BQ57" s="225"/>
      <c r="BR57" s="225"/>
      <c r="BS57" s="225"/>
      <c r="BT57" s="225"/>
      <c r="BU57" s="225"/>
      <c r="BV57" s="225"/>
      <c r="BW57" s="225"/>
      <c r="BY57" s="176"/>
      <c r="BZ57" s="176"/>
      <c r="CA57" s="176"/>
      <c r="CB57" s="176"/>
      <c r="CC57" s="176"/>
      <c r="CD57" s="176"/>
      <c r="CE57" s="176"/>
      <c r="CF57" s="176"/>
      <c r="CH57" s="248"/>
      <c r="CI57" s="248"/>
      <c r="CJ57" s="248"/>
      <c r="CK57" s="248"/>
      <c r="CL57" s="248"/>
      <c r="CM57" s="248"/>
      <c r="CN57" s="248"/>
      <c r="CO57" s="248"/>
      <c r="CQ57" s="248"/>
      <c r="CR57" s="248"/>
      <c r="CS57" s="248"/>
      <c r="CT57" s="248"/>
      <c r="CU57" s="248"/>
      <c r="CV57" s="248"/>
      <c r="CW57" s="248"/>
      <c r="CX57" s="248"/>
      <c r="CY57" s="248"/>
      <c r="DA57" s="248"/>
      <c r="DB57" s="248"/>
      <c r="DC57" s="248"/>
      <c r="DD57" s="248"/>
      <c r="DE57" s="248"/>
      <c r="DF57" s="248"/>
      <c r="DG57" s="248"/>
      <c r="DH57" s="248"/>
      <c r="DJ57" s="179" t="e">
        <f>#REF!+((SUMIFS($F57:$AM57,$F$3:$AM$3,$DJ$7)*80%))+SUMIFS(#REF!,#REF!,$DJ$7)</f>
        <v>#REF!</v>
      </c>
      <c r="DK57" s="179">
        <f t="shared" si="32"/>
        <v>0</v>
      </c>
      <c r="DL57" s="173" t="e">
        <f t="shared" si="31"/>
        <v>#REF!</v>
      </c>
    </row>
    <row r="58" spans="1:116">
      <c r="A58" s="168">
        <v>6905</v>
      </c>
      <c r="B58" s="2">
        <v>135907</v>
      </c>
      <c r="C58" s="2" t="s">
        <v>260</v>
      </c>
      <c r="D58" s="30"/>
      <c r="E58" s="226"/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30">
        <f t="shared" si="11"/>
        <v>0</v>
      </c>
      <c r="M58" s="176">
        <f t="shared" si="12"/>
        <v>0</v>
      </c>
      <c r="N58" s="226"/>
      <c r="O58" s="176">
        <v>0</v>
      </c>
      <c r="P58" s="176">
        <v>0</v>
      </c>
      <c r="Q58" s="176">
        <v>0</v>
      </c>
      <c r="R58" s="176">
        <v>0</v>
      </c>
      <c r="S58" s="176">
        <v>0</v>
      </c>
      <c r="T58" s="176">
        <v>0</v>
      </c>
      <c r="U58" s="176">
        <f t="shared" si="13"/>
        <v>0</v>
      </c>
      <c r="V58" s="176">
        <f t="shared" si="14"/>
        <v>0</v>
      </c>
      <c r="W58" s="226"/>
      <c r="X58" s="247"/>
      <c r="Y58" s="176">
        <v>0</v>
      </c>
      <c r="Z58" s="176">
        <v>0</v>
      </c>
      <c r="AA58" s="176">
        <v>0</v>
      </c>
      <c r="AB58" s="176">
        <v>0</v>
      </c>
      <c r="AC58" s="176">
        <v>0</v>
      </c>
      <c r="AD58" s="176">
        <f t="shared" si="15"/>
        <v>0</v>
      </c>
      <c r="AE58" s="247">
        <f t="shared" si="16"/>
        <v>0</v>
      </c>
      <c r="AF58" s="226"/>
      <c r="AG58" s="247">
        <v>0</v>
      </c>
      <c r="AH58" s="247">
        <v>0</v>
      </c>
      <c r="AI58" s="247">
        <v>0</v>
      </c>
      <c r="AJ58" s="226"/>
      <c r="AK58" s="247">
        <f t="shared" si="17"/>
        <v>0</v>
      </c>
      <c r="AL58" s="247">
        <f t="shared" si="18"/>
        <v>0</v>
      </c>
      <c r="AM58" s="247">
        <f t="shared" si="19"/>
        <v>0</v>
      </c>
      <c r="AN58" s="225"/>
      <c r="AO58" s="225">
        <v>0</v>
      </c>
      <c r="AP58" s="225">
        <v>0</v>
      </c>
      <c r="AQ58" s="225">
        <v>0</v>
      </c>
      <c r="AR58" s="225">
        <v>0</v>
      </c>
      <c r="AS58" s="225">
        <v>0</v>
      </c>
      <c r="AT58" s="225">
        <v>0</v>
      </c>
      <c r="AU58" s="225">
        <v>0</v>
      </c>
      <c r="AV58" s="225">
        <f t="shared" si="20"/>
        <v>0</v>
      </c>
      <c r="AX58" s="225">
        <f t="shared" si="21"/>
        <v>0</v>
      </c>
      <c r="AY58" s="225">
        <f t="shared" si="22"/>
        <v>0</v>
      </c>
      <c r="AZ58" s="225">
        <f t="shared" si="23"/>
        <v>0</v>
      </c>
      <c r="BA58" s="225">
        <f t="shared" si="24"/>
        <v>0</v>
      </c>
      <c r="BB58" s="225">
        <f t="shared" si="25"/>
        <v>0</v>
      </c>
      <c r="BC58" s="225">
        <f t="shared" si="26"/>
        <v>0</v>
      </c>
      <c r="BD58" s="225">
        <f t="shared" si="27"/>
        <v>0</v>
      </c>
      <c r="BE58" s="225">
        <f t="shared" si="28"/>
        <v>0</v>
      </c>
      <c r="BF58" s="225">
        <f t="shared" si="29"/>
        <v>0</v>
      </c>
      <c r="BG58" s="225">
        <f t="shared" si="2"/>
        <v>0</v>
      </c>
      <c r="BH58" s="225">
        <f t="shared" si="3"/>
        <v>0</v>
      </c>
      <c r="BI58" s="225">
        <f t="shared" si="4"/>
        <v>0</v>
      </c>
      <c r="BJ58" s="225">
        <f t="shared" si="5"/>
        <v>0</v>
      </c>
      <c r="BK58" s="225">
        <f t="shared" si="6"/>
        <v>0</v>
      </c>
      <c r="BL58" s="225">
        <f t="shared" si="7"/>
        <v>0</v>
      </c>
      <c r="BM58" s="225">
        <f t="shared" si="8"/>
        <v>0</v>
      </c>
      <c r="BN58" s="225">
        <f t="shared" si="30"/>
        <v>0</v>
      </c>
      <c r="BO58" s="225">
        <f t="shared" si="9"/>
        <v>0</v>
      </c>
      <c r="BP58" s="225"/>
      <c r="BQ58" s="225"/>
      <c r="BR58" s="225"/>
      <c r="BS58" s="225"/>
      <c r="BT58" s="225"/>
      <c r="BU58" s="225"/>
      <c r="BV58" s="225"/>
      <c r="BW58" s="225"/>
      <c r="BY58" s="176"/>
      <c r="BZ58" s="176"/>
      <c r="CA58" s="176"/>
      <c r="CB58" s="176"/>
      <c r="CC58" s="176"/>
      <c r="CD58" s="176"/>
      <c r="CE58" s="176"/>
      <c r="CF58" s="176"/>
      <c r="CH58" s="248"/>
      <c r="CI58" s="248"/>
      <c r="CJ58" s="248"/>
      <c r="CK58" s="248"/>
      <c r="CL58" s="248"/>
      <c r="CM58" s="248"/>
      <c r="CN58" s="248"/>
      <c r="CO58" s="248"/>
      <c r="CQ58" s="248"/>
      <c r="CR58" s="248"/>
      <c r="CS58" s="248"/>
      <c r="CT58" s="248"/>
      <c r="CU58" s="248"/>
      <c r="CV58" s="248"/>
      <c r="CW58" s="248"/>
      <c r="CX58" s="248"/>
      <c r="CY58" s="248"/>
      <c r="DA58" s="248"/>
      <c r="DB58" s="248"/>
      <c r="DC58" s="248"/>
      <c r="DD58" s="248"/>
      <c r="DE58" s="248"/>
      <c r="DF58" s="248"/>
      <c r="DG58" s="248"/>
      <c r="DH58" s="248"/>
      <c r="DJ58" s="179" t="e">
        <f>#REF!+((SUMIFS($F58:$AM58,$F$3:$AM$3,$DJ$7)*80%))+SUMIFS(#REF!,#REF!,$DJ$7)</f>
        <v>#REF!</v>
      </c>
      <c r="DK58" s="179">
        <f t="shared" si="32"/>
        <v>0</v>
      </c>
      <c r="DL58" s="173" t="e">
        <f t="shared" si="31"/>
        <v>#REF!</v>
      </c>
    </row>
    <row r="59" spans="1:116">
      <c r="A59" s="168">
        <v>2048</v>
      </c>
      <c r="B59" s="2">
        <v>138396</v>
      </c>
      <c r="C59" s="2" t="s">
        <v>261</v>
      </c>
      <c r="D59" s="30"/>
      <c r="E59" s="226"/>
      <c r="F59" s="176">
        <v>0</v>
      </c>
      <c r="G59" s="176">
        <v>0</v>
      </c>
      <c r="H59" s="176">
        <v>7725.9000000000005</v>
      </c>
      <c r="I59" s="176">
        <v>390</v>
      </c>
      <c r="J59" s="176">
        <v>0</v>
      </c>
      <c r="K59" s="176">
        <v>0</v>
      </c>
      <c r="L59" s="30">
        <f t="shared" si="11"/>
        <v>8115.9000000000005</v>
      </c>
      <c r="M59" s="176">
        <f t="shared" si="12"/>
        <v>6492.7200000000012</v>
      </c>
      <c r="N59" s="226"/>
      <c r="O59" s="176">
        <v>0</v>
      </c>
      <c r="P59" s="176">
        <v>0</v>
      </c>
      <c r="Q59" s="176">
        <v>7725.9000000000005</v>
      </c>
      <c r="R59" s="176">
        <v>585</v>
      </c>
      <c r="S59" s="176">
        <v>223.73684210526318</v>
      </c>
      <c r="T59" s="176">
        <v>0</v>
      </c>
      <c r="U59" s="176">
        <f t="shared" si="13"/>
        <v>8534.6368421052648</v>
      </c>
      <c r="V59" s="176">
        <f t="shared" si="14"/>
        <v>6827.7094736842118</v>
      </c>
      <c r="W59" s="226"/>
      <c r="X59" s="247"/>
      <c r="Y59" s="176">
        <v>0</v>
      </c>
      <c r="Z59" s="176">
        <v>6756.2526315789464</v>
      </c>
      <c r="AA59" s="176">
        <v>284.21052631578948</v>
      </c>
      <c r="AB59" s="176">
        <v>65.21883656509695</v>
      </c>
      <c r="AC59" s="176">
        <v>0</v>
      </c>
      <c r="AD59" s="176">
        <f t="shared" si="15"/>
        <v>7105.6819944598328</v>
      </c>
      <c r="AE59" s="247">
        <f t="shared" si="16"/>
        <v>5684.5455955678663</v>
      </c>
      <c r="AF59" s="226"/>
      <c r="AG59" s="247">
        <v>395.84999999999997</v>
      </c>
      <c r="AH59" s="247">
        <v>417.3</v>
      </c>
      <c r="AI59" s="247">
        <v>352.42105263157896</v>
      </c>
      <c r="AJ59" s="226"/>
      <c r="AK59" s="247">
        <f t="shared" si="17"/>
        <v>316.68</v>
      </c>
      <c r="AL59" s="247">
        <f t="shared" si="18"/>
        <v>333.84000000000003</v>
      </c>
      <c r="AM59" s="247">
        <f t="shared" si="19"/>
        <v>281.93684210526317</v>
      </c>
      <c r="AN59" s="225"/>
      <c r="AO59" s="225">
        <v>0</v>
      </c>
      <c r="AP59" s="225">
        <v>0</v>
      </c>
      <c r="AQ59" s="225">
        <v>13244.4</v>
      </c>
      <c r="AR59" s="225">
        <v>1560</v>
      </c>
      <c r="AS59" s="225">
        <v>596.63157894736844</v>
      </c>
      <c r="AT59" s="225">
        <v>0</v>
      </c>
      <c r="AU59" s="225">
        <v>700.05000000000007</v>
      </c>
      <c r="AV59" s="225">
        <f t="shared" si="20"/>
        <v>16101.081578947367</v>
      </c>
      <c r="AX59" s="225">
        <f t="shared" si="21"/>
        <v>0</v>
      </c>
      <c r="AY59" s="225">
        <f t="shared" si="22"/>
        <v>0</v>
      </c>
      <c r="AZ59" s="225">
        <f t="shared" si="23"/>
        <v>5518.4999999999991</v>
      </c>
      <c r="BA59" s="225">
        <f t="shared" si="24"/>
        <v>1170</v>
      </c>
      <c r="BB59" s="225">
        <f t="shared" si="25"/>
        <v>596.63157894736844</v>
      </c>
      <c r="BC59" s="225">
        <f t="shared" si="26"/>
        <v>0</v>
      </c>
      <c r="BD59" s="225">
        <f t="shared" si="27"/>
        <v>304.2000000000001</v>
      </c>
      <c r="BE59" s="225">
        <f t="shared" si="28"/>
        <v>7589.3315789473672</v>
      </c>
      <c r="BF59" s="225">
        <f t="shared" si="29"/>
        <v>0</v>
      </c>
      <c r="BG59" s="225">
        <f t="shared" si="2"/>
        <v>0</v>
      </c>
      <c r="BH59" s="225">
        <f t="shared" si="3"/>
        <v>0</v>
      </c>
      <c r="BI59" s="225">
        <f t="shared" si="4"/>
        <v>7063.6799999999985</v>
      </c>
      <c r="BJ59" s="225">
        <f t="shared" si="5"/>
        <v>1248</v>
      </c>
      <c r="BK59" s="225">
        <f t="shared" si="6"/>
        <v>596.63157894736844</v>
      </c>
      <c r="BL59" s="225">
        <f t="shared" si="7"/>
        <v>0</v>
      </c>
      <c r="BM59" s="225">
        <f t="shared" si="8"/>
        <v>383.37000000000006</v>
      </c>
      <c r="BN59" s="225">
        <f t="shared" si="30"/>
        <v>9291.6815789473676</v>
      </c>
      <c r="BO59" s="225">
        <f t="shared" si="9"/>
        <v>0</v>
      </c>
      <c r="BP59" s="225"/>
      <c r="BQ59" s="225"/>
      <c r="BR59" s="225"/>
      <c r="BS59" s="225"/>
      <c r="BT59" s="225"/>
      <c r="BU59" s="225"/>
      <c r="BV59" s="225"/>
      <c r="BW59" s="225"/>
      <c r="BY59" s="176"/>
      <c r="BZ59" s="176"/>
      <c r="CA59" s="176"/>
      <c r="CB59" s="176"/>
      <c r="CC59" s="176"/>
      <c r="CD59" s="176"/>
      <c r="CE59" s="176"/>
      <c r="CF59" s="176"/>
      <c r="CH59" s="248"/>
      <c r="CI59" s="248"/>
      <c r="CJ59" s="248"/>
      <c r="CK59" s="248"/>
      <c r="CL59" s="248"/>
      <c r="CM59" s="248"/>
      <c r="CN59" s="248"/>
      <c r="CO59" s="248"/>
      <c r="CQ59" s="248"/>
      <c r="CR59" s="248"/>
      <c r="CS59" s="248"/>
      <c r="CT59" s="248"/>
      <c r="CU59" s="248"/>
      <c r="CV59" s="248"/>
      <c r="CW59" s="248"/>
      <c r="CX59" s="248"/>
      <c r="CY59" s="248"/>
      <c r="DA59" s="248"/>
      <c r="DB59" s="248"/>
      <c r="DC59" s="248"/>
      <c r="DD59" s="248"/>
      <c r="DE59" s="248"/>
      <c r="DF59" s="248"/>
      <c r="DG59" s="248"/>
      <c r="DH59" s="248"/>
      <c r="DJ59" s="179" t="e">
        <f>#REF!+((SUMIFS($F59:$AM59,$F$3:$AM$3,$DJ$7)*80%))+SUMIFS(#REF!,#REF!,$DJ$7)</f>
        <v>#REF!</v>
      </c>
      <c r="DK59" s="179">
        <f t="shared" si="32"/>
        <v>0</v>
      </c>
      <c r="DL59" s="173" t="e">
        <f t="shared" si="31"/>
        <v>#REF!</v>
      </c>
    </row>
    <row r="60" spans="1:116">
      <c r="A60" s="168">
        <v>6909</v>
      </c>
      <c r="B60" s="2">
        <v>136032</v>
      </c>
      <c r="C60" s="2" t="s">
        <v>262</v>
      </c>
      <c r="D60" s="30"/>
      <c r="E60" s="226"/>
      <c r="F60" s="176">
        <v>0</v>
      </c>
      <c r="G60" s="176">
        <v>0</v>
      </c>
      <c r="H60" s="176">
        <v>0</v>
      </c>
      <c r="I60" s="176">
        <v>0</v>
      </c>
      <c r="J60" s="176">
        <v>0</v>
      </c>
      <c r="K60" s="176">
        <v>0</v>
      </c>
      <c r="L60" s="30">
        <f t="shared" si="11"/>
        <v>0</v>
      </c>
      <c r="M60" s="176">
        <f t="shared" si="12"/>
        <v>0</v>
      </c>
      <c r="N60" s="226"/>
      <c r="O60" s="176">
        <v>0</v>
      </c>
      <c r="P60" s="176">
        <v>0</v>
      </c>
      <c r="Q60" s="176">
        <v>0</v>
      </c>
      <c r="R60" s="176">
        <v>0</v>
      </c>
      <c r="S60" s="176">
        <v>0</v>
      </c>
      <c r="T60" s="176">
        <v>0</v>
      </c>
      <c r="U60" s="176">
        <f t="shared" si="13"/>
        <v>0</v>
      </c>
      <c r="V60" s="176">
        <f t="shared" si="14"/>
        <v>0</v>
      </c>
      <c r="W60" s="226"/>
      <c r="X60" s="247"/>
      <c r="Y60" s="176">
        <v>0</v>
      </c>
      <c r="Z60" s="176">
        <v>0</v>
      </c>
      <c r="AA60" s="176">
        <v>0</v>
      </c>
      <c r="AB60" s="176">
        <v>0</v>
      </c>
      <c r="AC60" s="176">
        <v>0</v>
      </c>
      <c r="AD60" s="176">
        <f t="shared" si="15"/>
        <v>0</v>
      </c>
      <c r="AE60" s="247">
        <f t="shared" si="16"/>
        <v>0</v>
      </c>
      <c r="AF60" s="226"/>
      <c r="AG60" s="247">
        <v>0</v>
      </c>
      <c r="AH60" s="247">
        <v>0</v>
      </c>
      <c r="AI60" s="247">
        <v>0</v>
      </c>
      <c r="AJ60" s="226"/>
      <c r="AK60" s="247">
        <f t="shared" si="17"/>
        <v>0</v>
      </c>
      <c r="AL60" s="247">
        <f t="shared" si="18"/>
        <v>0</v>
      </c>
      <c r="AM60" s="247">
        <f t="shared" si="19"/>
        <v>0</v>
      </c>
      <c r="AN60" s="225"/>
      <c r="AO60" s="225">
        <v>0</v>
      </c>
      <c r="AP60" s="225">
        <v>0</v>
      </c>
      <c r="AQ60" s="225">
        <v>0</v>
      </c>
      <c r="AR60" s="225">
        <v>0</v>
      </c>
      <c r="AS60" s="225">
        <v>0</v>
      </c>
      <c r="AT60" s="225">
        <v>0</v>
      </c>
      <c r="AU60" s="225">
        <v>0</v>
      </c>
      <c r="AV60" s="225">
        <f t="shared" si="20"/>
        <v>0</v>
      </c>
      <c r="AX60" s="225">
        <f t="shared" si="21"/>
        <v>0</v>
      </c>
      <c r="AY60" s="225">
        <f t="shared" si="22"/>
        <v>0</v>
      </c>
      <c r="AZ60" s="225">
        <f t="shared" si="23"/>
        <v>0</v>
      </c>
      <c r="BA60" s="225">
        <f t="shared" si="24"/>
        <v>0</v>
      </c>
      <c r="BB60" s="225">
        <f t="shared" si="25"/>
        <v>0</v>
      </c>
      <c r="BC60" s="225">
        <f t="shared" si="26"/>
        <v>0</v>
      </c>
      <c r="BD60" s="225">
        <f t="shared" si="27"/>
        <v>0</v>
      </c>
      <c r="BE60" s="225">
        <f t="shared" si="28"/>
        <v>0</v>
      </c>
      <c r="BF60" s="225">
        <f t="shared" si="29"/>
        <v>0</v>
      </c>
      <c r="BG60" s="225">
        <f t="shared" si="2"/>
        <v>0</v>
      </c>
      <c r="BH60" s="225">
        <f t="shared" si="3"/>
        <v>0</v>
      </c>
      <c r="BI60" s="225">
        <f t="shared" si="4"/>
        <v>0</v>
      </c>
      <c r="BJ60" s="225">
        <f t="shared" si="5"/>
        <v>0</v>
      </c>
      <c r="BK60" s="225">
        <f t="shared" si="6"/>
        <v>0</v>
      </c>
      <c r="BL60" s="225">
        <f t="shared" si="7"/>
        <v>0</v>
      </c>
      <c r="BM60" s="225">
        <f t="shared" si="8"/>
        <v>0</v>
      </c>
      <c r="BN60" s="225">
        <f t="shared" si="30"/>
        <v>0</v>
      </c>
      <c r="BO60" s="225">
        <f t="shared" si="9"/>
        <v>0</v>
      </c>
      <c r="BP60" s="225"/>
      <c r="BQ60" s="225"/>
      <c r="BR60" s="225"/>
      <c r="BS60" s="225"/>
      <c r="BT60" s="225"/>
      <c r="BU60" s="225"/>
      <c r="BV60" s="225"/>
      <c r="BW60" s="225"/>
      <c r="BY60" s="176"/>
      <c r="BZ60" s="176"/>
      <c r="CA60" s="176"/>
      <c r="CB60" s="176"/>
      <c r="CC60" s="176"/>
      <c r="CD60" s="176"/>
      <c r="CE60" s="176"/>
      <c r="CF60" s="176"/>
      <c r="CH60" s="248"/>
      <c r="CI60" s="248"/>
      <c r="CJ60" s="248"/>
      <c r="CK60" s="248"/>
      <c r="CL60" s="248"/>
      <c r="CM60" s="248"/>
      <c r="CN60" s="248"/>
      <c r="CO60" s="248"/>
      <c r="CQ60" s="248"/>
      <c r="CR60" s="248"/>
      <c r="CS60" s="248"/>
      <c r="CT60" s="248"/>
      <c r="CU60" s="248"/>
      <c r="CV60" s="248"/>
      <c r="CW60" s="248"/>
      <c r="CX60" s="248"/>
      <c r="CY60" s="248"/>
      <c r="DA60" s="248"/>
      <c r="DB60" s="248"/>
      <c r="DC60" s="248"/>
      <c r="DD60" s="248"/>
      <c r="DE60" s="248"/>
      <c r="DF60" s="248"/>
      <c r="DG60" s="248"/>
      <c r="DH60" s="248"/>
      <c r="DJ60" s="179" t="e">
        <f>#REF!+((SUMIFS($F60:$AM60,$F$3:$AM$3,$DJ$7)*80%))+SUMIFS(#REF!,#REF!,$DJ$7)</f>
        <v>#REF!</v>
      </c>
      <c r="DK60" s="179">
        <f t="shared" si="32"/>
        <v>0</v>
      </c>
      <c r="DL60" s="173" t="e">
        <f t="shared" si="31"/>
        <v>#REF!</v>
      </c>
    </row>
    <row r="61" spans="1:116">
      <c r="A61" s="168">
        <v>6907</v>
      </c>
      <c r="B61" s="2">
        <v>135911</v>
      </c>
      <c r="C61" s="2" t="s">
        <v>263</v>
      </c>
      <c r="D61" s="30"/>
      <c r="E61" s="226"/>
      <c r="F61" s="176">
        <v>0</v>
      </c>
      <c r="G61" s="176">
        <v>0</v>
      </c>
      <c r="H61" s="176">
        <v>0</v>
      </c>
      <c r="I61" s="176">
        <v>0</v>
      </c>
      <c r="J61" s="176">
        <v>0</v>
      </c>
      <c r="K61" s="176">
        <v>0</v>
      </c>
      <c r="L61" s="30">
        <f t="shared" si="11"/>
        <v>0</v>
      </c>
      <c r="M61" s="176">
        <f t="shared" si="12"/>
        <v>0</v>
      </c>
      <c r="N61" s="226"/>
      <c r="O61" s="176">
        <v>0</v>
      </c>
      <c r="P61" s="176">
        <v>0</v>
      </c>
      <c r="Q61" s="176">
        <v>0</v>
      </c>
      <c r="R61" s="176">
        <v>0</v>
      </c>
      <c r="S61" s="176">
        <v>0</v>
      </c>
      <c r="T61" s="176">
        <v>0</v>
      </c>
      <c r="U61" s="176">
        <f t="shared" si="13"/>
        <v>0</v>
      </c>
      <c r="V61" s="176">
        <f t="shared" si="14"/>
        <v>0</v>
      </c>
      <c r="W61" s="226"/>
      <c r="X61" s="247"/>
      <c r="Y61" s="176">
        <v>0</v>
      </c>
      <c r="Z61" s="176">
        <v>0</v>
      </c>
      <c r="AA61" s="176">
        <v>0</v>
      </c>
      <c r="AB61" s="176">
        <v>0</v>
      </c>
      <c r="AC61" s="176">
        <v>0</v>
      </c>
      <c r="AD61" s="176">
        <f t="shared" si="15"/>
        <v>0</v>
      </c>
      <c r="AE61" s="247">
        <f t="shared" si="16"/>
        <v>0</v>
      </c>
      <c r="AF61" s="226"/>
      <c r="AG61" s="247">
        <v>0</v>
      </c>
      <c r="AH61" s="247">
        <v>0</v>
      </c>
      <c r="AI61" s="247">
        <v>0</v>
      </c>
      <c r="AJ61" s="226"/>
      <c r="AK61" s="247">
        <f t="shared" si="17"/>
        <v>0</v>
      </c>
      <c r="AL61" s="247">
        <f t="shared" si="18"/>
        <v>0</v>
      </c>
      <c r="AM61" s="247">
        <f t="shared" si="19"/>
        <v>0</v>
      </c>
      <c r="AN61" s="225"/>
      <c r="AO61" s="225">
        <v>0</v>
      </c>
      <c r="AP61" s="225">
        <v>0</v>
      </c>
      <c r="AQ61" s="225">
        <v>0</v>
      </c>
      <c r="AR61" s="225">
        <v>0</v>
      </c>
      <c r="AS61" s="225">
        <v>0</v>
      </c>
      <c r="AT61" s="225">
        <v>0</v>
      </c>
      <c r="AU61" s="225">
        <v>0</v>
      </c>
      <c r="AV61" s="225">
        <f t="shared" si="20"/>
        <v>0</v>
      </c>
      <c r="AX61" s="225">
        <f t="shared" si="21"/>
        <v>0</v>
      </c>
      <c r="AY61" s="225">
        <f t="shared" si="22"/>
        <v>0</v>
      </c>
      <c r="AZ61" s="225">
        <f t="shared" si="23"/>
        <v>0</v>
      </c>
      <c r="BA61" s="225">
        <f t="shared" si="24"/>
        <v>0</v>
      </c>
      <c r="BB61" s="225">
        <f t="shared" si="25"/>
        <v>0</v>
      </c>
      <c r="BC61" s="225">
        <f t="shared" si="26"/>
        <v>0</v>
      </c>
      <c r="BD61" s="225">
        <f t="shared" si="27"/>
        <v>0</v>
      </c>
      <c r="BE61" s="225">
        <f t="shared" si="28"/>
        <v>0</v>
      </c>
      <c r="BF61" s="225">
        <f t="shared" si="29"/>
        <v>0</v>
      </c>
      <c r="BG61" s="225">
        <f t="shared" si="2"/>
        <v>0</v>
      </c>
      <c r="BH61" s="225">
        <f t="shared" si="3"/>
        <v>0</v>
      </c>
      <c r="BI61" s="225">
        <f t="shared" si="4"/>
        <v>0</v>
      </c>
      <c r="BJ61" s="225">
        <f t="shared" si="5"/>
        <v>0</v>
      </c>
      <c r="BK61" s="225">
        <f t="shared" si="6"/>
        <v>0</v>
      </c>
      <c r="BL61" s="225">
        <f t="shared" si="7"/>
        <v>0</v>
      </c>
      <c r="BM61" s="225">
        <f t="shared" si="8"/>
        <v>0</v>
      </c>
      <c r="BN61" s="225">
        <f t="shared" si="30"/>
        <v>0</v>
      </c>
      <c r="BO61" s="225">
        <f t="shared" si="9"/>
        <v>0</v>
      </c>
      <c r="BP61" s="225"/>
      <c r="BQ61" s="225"/>
      <c r="BR61" s="225"/>
      <c r="BS61" s="225"/>
      <c r="BT61" s="225"/>
      <c r="BU61" s="225"/>
      <c r="BV61" s="225"/>
      <c r="BW61" s="225"/>
      <c r="BY61" s="176"/>
      <c r="BZ61" s="176"/>
      <c r="CA61" s="176"/>
      <c r="CB61" s="176"/>
      <c r="CC61" s="176"/>
      <c r="CD61" s="176"/>
      <c r="CE61" s="176"/>
      <c r="CF61" s="176"/>
      <c r="CH61" s="248"/>
      <c r="CI61" s="248"/>
      <c r="CJ61" s="248"/>
      <c r="CK61" s="248"/>
      <c r="CL61" s="248"/>
      <c r="CM61" s="248"/>
      <c r="CN61" s="248"/>
      <c r="CO61" s="248"/>
      <c r="CQ61" s="248"/>
      <c r="CR61" s="248"/>
      <c r="CS61" s="248"/>
      <c r="CT61" s="248"/>
      <c r="CU61" s="248"/>
      <c r="CV61" s="248"/>
      <c r="CW61" s="248"/>
      <c r="CX61" s="248"/>
      <c r="CY61" s="248"/>
      <c r="DA61" s="248"/>
      <c r="DB61" s="248"/>
      <c r="DC61" s="248"/>
      <c r="DD61" s="248"/>
      <c r="DE61" s="248"/>
      <c r="DF61" s="248"/>
      <c r="DG61" s="248"/>
      <c r="DH61" s="248"/>
      <c r="DJ61" s="179" t="e">
        <f>#REF!+((SUMIFS($F61:$AM61,$F$3:$AM$3,$DJ$7)*80%))+SUMIFS(#REF!,#REF!,$DJ$7)</f>
        <v>#REF!</v>
      </c>
      <c r="DK61" s="179">
        <f t="shared" si="32"/>
        <v>0</v>
      </c>
      <c r="DL61" s="173" t="e">
        <f t="shared" si="31"/>
        <v>#REF!</v>
      </c>
    </row>
    <row r="62" spans="1:116">
      <c r="A62" s="168">
        <v>1105</v>
      </c>
      <c r="B62" s="2">
        <v>138775</v>
      </c>
      <c r="C62" s="2" t="s">
        <v>264</v>
      </c>
      <c r="D62" s="30"/>
      <c r="E62" s="226"/>
      <c r="F62" s="176">
        <v>0</v>
      </c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30">
        <f t="shared" si="11"/>
        <v>0</v>
      </c>
      <c r="M62" s="176">
        <f t="shared" si="12"/>
        <v>0</v>
      </c>
      <c r="N62" s="226"/>
      <c r="O62" s="176">
        <v>0</v>
      </c>
      <c r="P62" s="176">
        <v>0</v>
      </c>
      <c r="Q62" s="176">
        <v>0</v>
      </c>
      <c r="R62" s="176">
        <v>0</v>
      </c>
      <c r="S62" s="176">
        <v>0</v>
      </c>
      <c r="T62" s="176">
        <v>0</v>
      </c>
      <c r="U62" s="176">
        <f t="shared" si="13"/>
        <v>0</v>
      </c>
      <c r="V62" s="176">
        <f t="shared" si="14"/>
        <v>0</v>
      </c>
      <c r="W62" s="226"/>
      <c r="X62" s="247"/>
      <c r="Y62" s="176">
        <v>0</v>
      </c>
      <c r="Z62" s="176">
        <v>0</v>
      </c>
      <c r="AA62" s="176">
        <v>0</v>
      </c>
      <c r="AB62" s="176">
        <v>0</v>
      </c>
      <c r="AC62" s="176">
        <v>0</v>
      </c>
      <c r="AD62" s="176">
        <f t="shared" si="15"/>
        <v>0</v>
      </c>
      <c r="AE62" s="247">
        <f t="shared" si="16"/>
        <v>0</v>
      </c>
      <c r="AF62" s="226"/>
      <c r="AG62" s="247">
        <v>0</v>
      </c>
      <c r="AH62" s="247">
        <v>0</v>
      </c>
      <c r="AI62" s="247">
        <v>0</v>
      </c>
      <c r="AJ62" s="226"/>
      <c r="AK62" s="247">
        <f t="shared" si="17"/>
        <v>0</v>
      </c>
      <c r="AL62" s="247">
        <f t="shared" si="18"/>
        <v>0</v>
      </c>
      <c r="AM62" s="247">
        <f t="shared" si="19"/>
        <v>0</v>
      </c>
      <c r="AN62" s="225"/>
      <c r="AO62" s="225">
        <v>0</v>
      </c>
      <c r="AP62" s="225">
        <v>0</v>
      </c>
      <c r="AQ62" s="225">
        <v>0</v>
      </c>
      <c r="AR62" s="225">
        <v>0</v>
      </c>
      <c r="AS62" s="225">
        <v>0</v>
      </c>
      <c r="AT62" s="225">
        <v>0</v>
      </c>
      <c r="AU62" s="225">
        <v>0</v>
      </c>
      <c r="AV62" s="225">
        <f t="shared" si="20"/>
        <v>0</v>
      </c>
      <c r="AX62" s="225">
        <f t="shared" si="21"/>
        <v>0</v>
      </c>
      <c r="AY62" s="225">
        <f t="shared" si="22"/>
        <v>0</v>
      </c>
      <c r="AZ62" s="225">
        <f t="shared" si="23"/>
        <v>0</v>
      </c>
      <c r="BA62" s="225">
        <f t="shared" si="24"/>
        <v>0</v>
      </c>
      <c r="BB62" s="225">
        <f t="shared" si="25"/>
        <v>0</v>
      </c>
      <c r="BC62" s="225">
        <f t="shared" si="26"/>
        <v>0</v>
      </c>
      <c r="BD62" s="225">
        <f t="shared" si="27"/>
        <v>0</v>
      </c>
      <c r="BE62" s="225">
        <f t="shared" si="28"/>
        <v>0</v>
      </c>
      <c r="BF62" s="225">
        <f t="shared" si="29"/>
        <v>0</v>
      </c>
      <c r="BG62" s="225">
        <f t="shared" si="2"/>
        <v>0</v>
      </c>
      <c r="BH62" s="225">
        <f t="shared" si="3"/>
        <v>0</v>
      </c>
      <c r="BI62" s="225">
        <f t="shared" si="4"/>
        <v>0</v>
      </c>
      <c r="BJ62" s="225">
        <f t="shared" si="5"/>
        <v>0</v>
      </c>
      <c r="BK62" s="225">
        <f t="shared" si="6"/>
        <v>0</v>
      </c>
      <c r="BL62" s="225">
        <f t="shared" si="7"/>
        <v>0</v>
      </c>
      <c r="BM62" s="225">
        <f t="shared" si="8"/>
        <v>0</v>
      </c>
      <c r="BN62" s="225">
        <f t="shared" si="30"/>
        <v>0</v>
      </c>
      <c r="BO62" s="225">
        <f t="shared" si="9"/>
        <v>0</v>
      </c>
      <c r="BP62" s="225"/>
      <c r="BQ62" s="225"/>
      <c r="BR62" s="225"/>
      <c r="BS62" s="225"/>
      <c r="BT62" s="225"/>
      <c r="BU62" s="225"/>
      <c r="BV62" s="225"/>
      <c r="BW62" s="225"/>
      <c r="BY62" s="176"/>
      <c r="BZ62" s="176"/>
      <c r="CA62" s="176"/>
      <c r="CB62" s="176"/>
      <c r="CC62" s="176"/>
      <c r="CD62" s="176"/>
      <c r="CE62" s="176"/>
      <c r="CF62" s="176"/>
      <c r="CH62" s="248"/>
      <c r="CI62" s="248"/>
      <c r="CJ62" s="248"/>
      <c r="CK62" s="248"/>
      <c r="CL62" s="248"/>
      <c r="CM62" s="248"/>
      <c r="CN62" s="248"/>
      <c r="CO62" s="248"/>
      <c r="CQ62" s="248"/>
      <c r="CR62" s="248"/>
      <c r="CS62" s="248"/>
      <c r="CT62" s="248"/>
      <c r="CU62" s="248"/>
      <c r="CV62" s="248"/>
      <c r="CW62" s="248"/>
      <c r="CX62" s="248"/>
      <c r="CY62" s="248"/>
      <c r="DA62" s="248"/>
      <c r="DB62" s="248"/>
      <c r="DC62" s="248"/>
      <c r="DD62" s="248"/>
      <c r="DE62" s="248"/>
      <c r="DF62" s="248"/>
      <c r="DG62" s="248"/>
      <c r="DH62" s="248"/>
      <c r="DJ62" s="179" t="e">
        <f>#REF!+((SUMIFS($F62:$AM62,$F$3:$AM$3,$DJ$7)*80%))+SUMIFS(#REF!,#REF!,$DJ$7)</f>
        <v>#REF!</v>
      </c>
      <c r="DK62" s="179">
        <f t="shared" si="32"/>
        <v>0</v>
      </c>
      <c r="DL62" s="173" t="e">
        <f t="shared" si="31"/>
        <v>#REF!</v>
      </c>
    </row>
    <row r="63" spans="1:116">
      <c r="A63" s="168">
        <v>1110</v>
      </c>
      <c r="B63" s="2">
        <v>141739</v>
      </c>
      <c r="C63" s="2" t="s">
        <v>265</v>
      </c>
      <c r="D63" s="30"/>
      <c r="E63" s="226"/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30">
        <f t="shared" si="11"/>
        <v>0</v>
      </c>
      <c r="M63" s="176">
        <f t="shared" si="12"/>
        <v>0</v>
      </c>
      <c r="N63" s="226"/>
      <c r="O63" s="176">
        <v>0</v>
      </c>
      <c r="P63" s="176">
        <v>0</v>
      </c>
      <c r="Q63" s="176">
        <v>0</v>
      </c>
      <c r="R63" s="176">
        <v>0</v>
      </c>
      <c r="S63" s="176">
        <v>0</v>
      </c>
      <c r="T63" s="176">
        <v>0</v>
      </c>
      <c r="U63" s="176">
        <f t="shared" si="13"/>
        <v>0</v>
      </c>
      <c r="V63" s="176">
        <f t="shared" si="14"/>
        <v>0</v>
      </c>
      <c r="W63" s="226"/>
      <c r="X63" s="247"/>
      <c r="Y63" s="176">
        <v>0</v>
      </c>
      <c r="Z63" s="176">
        <v>0</v>
      </c>
      <c r="AA63" s="176">
        <v>0</v>
      </c>
      <c r="AB63" s="176">
        <v>0</v>
      </c>
      <c r="AC63" s="176">
        <v>0</v>
      </c>
      <c r="AD63" s="176">
        <f t="shared" si="15"/>
        <v>0</v>
      </c>
      <c r="AE63" s="247">
        <f t="shared" si="16"/>
        <v>0</v>
      </c>
      <c r="AF63" s="226"/>
      <c r="AG63" s="247">
        <v>0</v>
      </c>
      <c r="AH63" s="247">
        <v>0</v>
      </c>
      <c r="AI63" s="247">
        <v>0</v>
      </c>
      <c r="AJ63" s="226"/>
      <c r="AK63" s="247">
        <f t="shared" si="17"/>
        <v>0</v>
      </c>
      <c r="AL63" s="247">
        <f t="shared" si="18"/>
        <v>0</v>
      </c>
      <c r="AM63" s="247">
        <f t="shared" si="19"/>
        <v>0</v>
      </c>
      <c r="AN63" s="225"/>
      <c r="AO63" s="225">
        <v>0</v>
      </c>
      <c r="AP63" s="225">
        <v>0</v>
      </c>
      <c r="AQ63" s="225">
        <v>0</v>
      </c>
      <c r="AR63" s="225">
        <v>0</v>
      </c>
      <c r="AS63" s="225">
        <v>0</v>
      </c>
      <c r="AT63" s="225">
        <v>0</v>
      </c>
      <c r="AU63" s="225">
        <v>0</v>
      </c>
      <c r="AV63" s="225">
        <f t="shared" si="20"/>
        <v>0</v>
      </c>
      <c r="AX63" s="225">
        <f t="shared" si="21"/>
        <v>0</v>
      </c>
      <c r="AY63" s="225">
        <f t="shared" si="22"/>
        <v>0</v>
      </c>
      <c r="AZ63" s="225">
        <f t="shared" si="23"/>
        <v>0</v>
      </c>
      <c r="BA63" s="225">
        <f t="shared" si="24"/>
        <v>0</v>
      </c>
      <c r="BB63" s="225">
        <f t="shared" si="25"/>
        <v>0</v>
      </c>
      <c r="BC63" s="225">
        <f t="shared" si="26"/>
        <v>0</v>
      </c>
      <c r="BD63" s="225">
        <f t="shared" si="27"/>
        <v>0</v>
      </c>
      <c r="BE63" s="225">
        <f t="shared" si="28"/>
        <v>0</v>
      </c>
      <c r="BF63" s="225">
        <f t="shared" si="29"/>
        <v>0</v>
      </c>
      <c r="BG63" s="225">
        <f t="shared" si="2"/>
        <v>0</v>
      </c>
      <c r="BH63" s="225">
        <f t="shared" si="3"/>
        <v>0</v>
      </c>
      <c r="BI63" s="225">
        <f t="shared" si="4"/>
        <v>0</v>
      </c>
      <c r="BJ63" s="225">
        <f t="shared" si="5"/>
        <v>0</v>
      </c>
      <c r="BK63" s="225">
        <f t="shared" si="6"/>
        <v>0</v>
      </c>
      <c r="BL63" s="225">
        <f t="shared" si="7"/>
        <v>0</v>
      </c>
      <c r="BM63" s="225">
        <f t="shared" si="8"/>
        <v>0</v>
      </c>
      <c r="BN63" s="225">
        <f t="shared" si="30"/>
        <v>0</v>
      </c>
      <c r="BO63" s="225">
        <f t="shared" si="9"/>
        <v>0</v>
      </c>
      <c r="BP63" s="225"/>
      <c r="BQ63" s="225"/>
      <c r="BR63" s="225"/>
      <c r="BS63" s="225"/>
      <c r="BT63" s="225"/>
      <c r="BU63" s="225"/>
      <c r="BV63" s="225"/>
      <c r="BW63" s="225"/>
      <c r="BY63" s="176"/>
      <c r="BZ63" s="176"/>
      <c r="CA63" s="176"/>
      <c r="CB63" s="176"/>
      <c r="CC63" s="176"/>
      <c r="CD63" s="176"/>
      <c r="CE63" s="176"/>
      <c r="CF63" s="176"/>
      <c r="CH63" s="248"/>
      <c r="CI63" s="248"/>
      <c r="CJ63" s="248"/>
      <c r="CK63" s="248"/>
      <c r="CL63" s="248"/>
      <c r="CM63" s="248"/>
      <c r="CN63" s="248"/>
      <c r="CO63" s="248"/>
      <c r="CQ63" s="248"/>
      <c r="CR63" s="248"/>
      <c r="CS63" s="248"/>
      <c r="CT63" s="248"/>
      <c r="CU63" s="248"/>
      <c r="CV63" s="248"/>
      <c r="CW63" s="248"/>
      <c r="CX63" s="248"/>
      <c r="CY63" s="248"/>
      <c r="DA63" s="248"/>
      <c r="DB63" s="248"/>
      <c r="DC63" s="248"/>
      <c r="DD63" s="248"/>
      <c r="DE63" s="248"/>
      <c r="DF63" s="248"/>
      <c r="DG63" s="248"/>
      <c r="DH63" s="248"/>
      <c r="DJ63" s="179" t="e">
        <f>#REF!+((SUMIFS($F63:$AM63,$F$3:$AM$3,$DJ$7)*80%))+SUMIFS(#REF!,#REF!,$DJ$7)</f>
        <v>#REF!</v>
      </c>
      <c r="DK63" s="179">
        <f t="shared" si="32"/>
        <v>0</v>
      </c>
      <c r="DL63" s="173" t="e">
        <f t="shared" si="31"/>
        <v>#REF!</v>
      </c>
    </row>
    <row r="64" spans="1:116">
      <c r="A64" s="168">
        <v>4032</v>
      </c>
      <c r="B64" s="2">
        <v>145878</v>
      </c>
      <c r="C64" s="2" t="s">
        <v>266</v>
      </c>
      <c r="D64" s="30"/>
      <c r="E64" s="226"/>
      <c r="F64" s="176">
        <v>0</v>
      </c>
      <c r="G64" s="176">
        <v>0</v>
      </c>
      <c r="H64" s="176">
        <v>0</v>
      </c>
      <c r="I64" s="176">
        <v>0</v>
      </c>
      <c r="J64" s="176">
        <v>0</v>
      </c>
      <c r="K64" s="176">
        <v>0</v>
      </c>
      <c r="L64" s="30">
        <f t="shared" si="11"/>
        <v>0</v>
      </c>
      <c r="M64" s="176">
        <f t="shared" si="12"/>
        <v>0</v>
      </c>
      <c r="N64" s="226"/>
      <c r="O64" s="176">
        <v>0</v>
      </c>
      <c r="P64" s="176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f t="shared" si="13"/>
        <v>0</v>
      </c>
      <c r="V64" s="176">
        <f t="shared" si="14"/>
        <v>0</v>
      </c>
      <c r="W64" s="226"/>
      <c r="X64" s="247"/>
      <c r="Y64" s="176">
        <v>0</v>
      </c>
      <c r="Z64" s="176">
        <v>0</v>
      </c>
      <c r="AA64" s="176">
        <v>0</v>
      </c>
      <c r="AB64" s="176">
        <v>0</v>
      </c>
      <c r="AC64" s="176">
        <v>0</v>
      </c>
      <c r="AD64" s="176">
        <f t="shared" si="15"/>
        <v>0</v>
      </c>
      <c r="AE64" s="247">
        <f t="shared" si="16"/>
        <v>0</v>
      </c>
      <c r="AF64" s="226"/>
      <c r="AG64" s="247">
        <v>0</v>
      </c>
      <c r="AH64" s="247">
        <v>0</v>
      </c>
      <c r="AI64" s="247">
        <v>0</v>
      </c>
      <c r="AJ64" s="226"/>
      <c r="AK64" s="247">
        <f t="shared" si="17"/>
        <v>0</v>
      </c>
      <c r="AL64" s="247">
        <f t="shared" si="18"/>
        <v>0</v>
      </c>
      <c r="AM64" s="247">
        <f t="shared" si="19"/>
        <v>0</v>
      </c>
      <c r="AN64" s="225"/>
      <c r="AO64" s="225">
        <v>0</v>
      </c>
      <c r="AP64" s="225">
        <v>0</v>
      </c>
      <c r="AQ64" s="225">
        <v>0</v>
      </c>
      <c r="AR64" s="225">
        <v>0</v>
      </c>
      <c r="AS64" s="225">
        <v>0</v>
      </c>
      <c r="AT64" s="225">
        <v>0</v>
      </c>
      <c r="AU64" s="225">
        <v>0</v>
      </c>
      <c r="AV64" s="225">
        <f t="shared" si="20"/>
        <v>0</v>
      </c>
      <c r="AX64" s="225">
        <f t="shared" si="21"/>
        <v>0</v>
      </c>
      <c r="AY64" s="225">
        <f t="shared" si="22"/>
        <v>0</v>
      </c>
      <c r="AZ64" s="225">
        <f t="shared" si="23"/>
        <v>0</v>
      </c>
      <c r="BA64" s="225">
        <f t="shared" si="24"/>
        <v>0</v>
      </c>
      <c r="BB64" s="225">
        <f t="shared" si="25"/>
        <v>0</v>
      </c>
      <c r="BC64" s="225">
        <f t="shared" si="26"/>
        <v>0</v>
      </c>
      <c r="BD64" s="225">
        <f t="shared" si="27"/>
        <v>0</v>
      </c>
      <c r="BE64" s="225">
        <f t="shared" si="28"/>
        <v>0</v>
      </c>
      <c r="BF64" s="225">
        <f t="shared" si="29"/>
        <v>0</v>
      </c>
      <c r="BG64" s="225">
        <f t="shared" si="2"/>
        <v>0</v>
      </c>
      <c r="BH64" s="225">
        <f t="shared" si="3"/>
        <v>0</v>
      </c>
      <c r="BI64" s="225">
        <f t="shared" si="4"/>
        <v>0</v>
      </c>
      <c r="BJ64" s="225">
        <f t="shared" si="5"/>
        <v>0</v>
      </c>
      <c r="BK64" s="225">
        <f t="shared" si="6"/>
        <v>0</v>
      </c>
      <c r="BL64" s="225">
        <f t="shared" si="7"/>
        <v>0</v>
      </c>
      <c r="BM64" s="225">
        <f t="shared" si="8"/>
        <v>0</v>
      </c>
      <c r="BN64" s="225">
        <f t="shared" si="30"/>
        <v>0</v>
      </c>
      <c r="BO64" s="225">
        <f t="shared" si="9"/>
        <v>0</v>
      </c>
      <c r="BP64" s="225"/>
      <c r="BQ64" s="225"/>
      <c r="BR64" s="225"/>
      <c r="BS64" s="225"/>
      <c r="BT64" s="225"/>
      <c r="BU64" s="225"/>
      <c r="BV64" s="225"/>
      <c r="BW64" s="225"/>
      <c r="BY64" s="176"/>
      <c r="BZ64" s="176"/>
      <c r="CA64" s="176"/>
      <c r="CB64" s="176"/>
      <c r="CC64" s="176"/>
      <c r="CD64" s="176"/>
      <c r="CE64" s="176"/>
      <c r="CF64" s="176"/>
      <c r="CH64" s="248"/>
      <c r="CI64" s="248"/>
      <c r="CJ64" s="248"/>
      <c r="CK64" s="248"/>
      <c r="CL64" s="248"/>
      <c r="CM64" s="248"/>
      <c r="CN64" s="248"/>
      <c r="CO64" s="248"/>
      <c r="CQ64" s="248"/>
      <c r="CR64" s="248"/>
      <c r="CS64" s="248"/>
      <c r="CT64" s="248"/>
      <c r="CU64" s="248"/>
      <c r="CV64" s="248"/>
      <c r="CW64" s="248"/>
      <c r="CX64" s="248"/>
      <c r="CY64" s="248"/>
      <c r="DA64" s="248"/>
      <c r="DB64" s="248"/>
      <c r="DC64" s="248"/>
      <c r="DD64" s="248"/>
      <c r="DE64" s="248"/>
      <c r="DF64" s="248"/>
      <c r="DG64" s="248"/>
      <c r="DH64" s="248"/>
      <c r="DJ64" s="179" t="e">
        <f>#REF!+((SUMIFS($F64:$AM64,$F$3:$AM$3,$DJ$7)*80%))+SUMIFS(#REF!,#REF!,$DJ$7)</f>
        <v>#REF!</v>
      </c>
      <c r="DK64" s="179">
        <f t="shared" si="32"/>
        <v>0</v>
      </c>
      <c r="DL64" s="173" t="e">
        <f t="shared" si="31"/>
        <v>#REF!</v>
      </c>
    </row>
    <row r="65" spans="1:116">
      <c r="A65" s="168">
        <v>4021</v>
      </c>
      <c r="B65" s="2">
        <v>141969</v>
      </c>
      <c r="C65" s="2" t="s">
        <v>267</v>
      </c>
      <c r="D65" s="30"/>
      <c r="E65" s="226"/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30">
        <f t="shared" si="11"/>
        <v>0</v>
      </c>
      <c r="M65" s="176">
        <f t="shared" si="12"/>
        <v>0</v>
      </c>
      <c r="N65" s="226"/>
      <c r="O65" s="176">
        <v>0</v>
      </c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176">
        <f t="shared" si="13"/>
        <v>0</v>
      </c>
      <c r="V65" s="176">
        <f t="shared" si="14"/>
        <v>0</v>
      </c>
      <c r="W65" s="226"/>
      <c r="X65" s="247"/>
      <c r="Y65" s="176">
        <v>0</v>
      </c>
      <c r="Z65" s="176">
        <v>0</v>
      </c>
      <c r="AA65" s="176">
        <v>0</v>
      </c>
      <c r="AB65" s="176">
        <v>0</v>
      </c>
      <c r="AC65" s="176">
        <v>0</v>
      </c>
      <c r="AD65" s="176">
        <f t="shared" si="15"/>
        <v>0</v>
      </c>
      <c r="AE65" s="247">
        <f t="shared" si="16"/>
        <v>0</v>
      </c>
      <c r="AF65" s="226"/>
      <c r="AG65" s="247">
        <v>0</v>
      </c>
      <c r="AH65" s="247">
        <v>0</v>
      </c>
      <c r="AI65" s="247">
        <v>0</v>
      </c>
      <c r="AJ65" s="226"/>
      <c r="AK65" s="247">
        <f t="shared" si="17"/>
        <v>0</v>
      </c>
      <c r="AL65" s="247">
        <f t="shared" si="18"/>
        <v>0</v>
      </c>
      <c r="AM65" s="247">
        <f t="shared" si="19"/>
        <v>0</v>
      </c>
      <c r="AN65" s="225"/>
      <c r="AO65" s="225">
        <v>0</v>
      </c>
      <c r="AP65" s="225">
        <v>0</v>
      </c>
      <c r="AQ65" s="225">
        <v>0</v>
      </c>
      <c r="AR65" s="225">
        <v>0</v>
      </c>
      <c r="AS65" s="225">
        <v>0</v>
      </c>
      <c r="AT65" s="225">
        <v>0</v>
      </c>
      <c r="AU65" s="225">
        <v>0</v>
      </c>
      <c r="AV65" s="225">
        <f t="shared" si="20"/>
        <v>0</v>
      </c>
      <c r="AX65" s="225">
        <f t="shared" si="21"/>
        <v>0</v>
      </c>
      <c r="AY65" s="225">
        <f t="shared" si="22"/>
        <v>0</v>
      </c>
      <c r="AZ65" s="225">
        <f t="shared" si="23"/>
        <v>0</v>
      </c>
      <c r="BA65" s="225">
        <f t="shared" si="24"/>
        <v>0</v>
      </c>
      <c r="BB65" s="225">
        <f t="shared" si="25"/>
        <v>0</v>
      </c>
      <c r="BC65" s="225">
        <f t="shared" si="26"/>
        <v>0</v>
      </c>
      <c r="BD65" s="225">
        <f t="shared" si="27"/>
        <v>0</v>
      </c>
      <c r="BE65" s="225">
        <f t="shared" si="28"/>
        <v>0</v>
      </c>
      <c r="BF65" s="225">
        <f t="shared" si="29"/>
        <v>0</v>
      </c>
      <c r="BG65" s="225">
        <f t="shared" si="2"/>
        <v>0</v>
      </c>
      <c r="BH65" s="225">
        <f t="shared" si="3"/>
        <v>0</v>
      </c>
      <c r="BI65" s="225">
        <f t="shared" si="4"/>
        <v>0</v>
      </c>
      <c r="BJ65" s="225">
        <f t="shared" si="5"/>
        <v>0</v>
      </c>
      <c r="BK65" s="225">
        <f t="shared" si="6"/>
        <v>0</v>
      </c>
      <c r="BL65" s="225">
        <f t="shared" si="7"/>
        <v>0</v>
      </c>
      <c r="BM65" s="225">
        <f t="shared" si="8"/>
        <v>0</v>
      </c>
      <c r="BN65" s="225">
        <f t="shared" si="30"/>
        <v>0</v>
      </c>
      <c r="BO65" s="225">
        <f t="shared" si="9"/>
        <v>0</v>
      </c>
      <c r="BP65" s="225"/>
      <c r="BQ65" s="225"/>
      <c r="BR65" s="225"/>
      <c r="BS65" s="225"/>
      <c r="BT65" s="225"/>
      <c r="BU65" s="225"/>
      <c r="BV65" s="225"/>
      <c r="BW65" s="225"/>
      <c r="BY65" s="176"/>
      <c r="BZ65" s="176"/>
      <c r="CA65" s="176"/>
      <c r="CB65" s="176"/>
      <c r="CC65" s="176"/>
      <c r="CD65" s="176"/>
      <c r="CE65" s="176"/>
      <c r="CF65" s="176"/>
      <c r="CH65" s="248"/>
      <c r="CI65" s="248"/>
      <c r="CJ65" s="248"/>
      <c r="CK65" s="248"/>
      <c r="CL65" s="248"/>
      <c r="CM65" s="248"/>
      <c r="CN65" s="248"/>
      <c r="CO65" s="248"/>
      <c r="CQ65" s="248"/>
      <c r="CR65" s="248"/>
      <c r="CS65" s="248"/>
      <c r="CT65" s="248"/>
      <c r="CU65" s="248"/>
      <c r="CV65" s="248"/>
      <c r="CW65" s="248"/>
      <c r="CX65" s="248"/>
      <c r="CY65" s="248"/>
      <c r="DA65" s="248"/>
      <c r="DB65" s="248"/>
      <c r="DC65" s="248"/>
      <c r="DD65" s="248"/>
      <c r="DE65" s="248"/>
      <c r="DF65" s="248"/>
      <c r="DG65" s="248"/>
      <c r="DH65" s="248"/>
      <c r="DJ65" s="179" t="e">
        <f>#REF!+((SUMIFS($F65:$AM65,$F$3:$AM$3,$DJ$7)*80%))+SUMIFS(#REF!,#REF!,$DJ$7)</f>
        <v>#REF!</v>
      </c>
      <c r="DK65" s="179">
        <f t="shared" si="32"/>
        <v>0</v>
      </c>
      <c r="DL65" s="173" t="e">
        <f t="shared" si="31"/>
        <v>#REF!</v>
      </c>
    </row>
    <row r="66" spans="1:116">
      <c r="A66" s="168">
        <v>4035</v>
      </c>
      <c r="B66" s="2">
        <v>147201</v>
      </c>
      <c r="C66" s="2" t="s">
        <v>268</v>
      </c>
      <c r="D66" s="30"/>
      <c r="E66" s="226"/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30">
        <f t="shared" si="11"/>
        <v>0</v>
      </c>
      <c r="M66" s="176">
        <f t="shared" si="12"/>
        <v>0</v>
      </c>
      <c r="N66" s="226"/>
      <c r="O66" s="176">
        <v>0</v>
      </c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176">
        <f t="shared" si="13"/>
        <v>0</v>
      </c>
      <c r="V66" s="176">
        <f t="shared" si="14"/>
        <v>0</v>
      </c>
      <c r="W66" s="226"/>
      <c r="X66" s="247"/>
      <c r="Y66" s="176">
        <v>0</v>
      </c>
      <c r="Z66" s="176">
        <v>0</v>
      </c>
      <c r="AA66" s="176">
        <v>0</v>
      </c>
      <c r="AB66" s="176">
        <v>0</v>
      </c>
      <c r="AC66" s="176">
        <v>0</v>
      </c>
      <c r="AD66" s="176">
        <f t="shared" si="15"/>
        <v>0</v>
      </c>
      <c r="AE66" s="247">
        <f t="shared" si="16"/>
        <v>0</v>
      </c>
      <c r="AF66" s="226"/>
      <c r="AG66" s="247">
        <v>0</v>
      </c>
      <c r="AH66" s="247">
        <v>0</v>
      </c>
      <c r="AI66" s="247">
        <v>0</v>
      </c>
      <c r="AJ66" s="226"/>
      <c r="AK66" s="247">
        <f t="shared" si="17"/>
        <v>0</v>
      </c>
      <c r="AL66" s="247">
        <f t="shared" si="18"/>
        <v>0</v>
      </c>
      <c r="AM66" s="247">
        <f t="shared" si="19"/>
        <v>0</v>
      </c>
      <c r="AN66" s="225"/>
      <c r="AO66" s="225">
        <v>0</v>
      </c>
      <c r="AP66" s="225">
        <v>0</v>
      </c>
      <c r="AQ66" s="225">
        <v>0</v>
      </c>
      <c r="AR66" s="225">
        <v>0</v>
      </c>
      <c r="AS66" s="225">
        <v>0</v>
      </c>
      <c r="AT66" s="225">
        <v>0</v>
      </c>
      <c r="AU66" s="225">
        <v>0</v>
      </c>
      <c r="AV66" s="225">
        <f t="shared" si="20"/>
        <v>0</v>
      </c>
      <c r="AX66" s="225">
        <f t="shared" si="21"/>
        <v>0</v>
      </c>
      <c r="AY66" s="225">
        <f t="shared" si="22"/>
        <v>0</v>
      </c>
      <c r="AZ66" s="225">
        <f t="shared" si="23"/>
        <v>0</v>
      </c>
      <c r="BA66" s="225">
        <f t="shared" si="24"/>
        <v>0</v>
      </c>
      <c r="BB66" s="225">
        <f t="shared" si="25"/>
        <v>0</v>
      </c>
      <c r="BC66" s="225">
        <f t="shared" si="26"/>
        <v>0</v>
      </c>
      <c r="BD66" s="225">
        <f t="shared" si="27"/>
        <v>0</v>
      </c>
      <c r="BE66" s="225">
        <f t="shared" si="28"/>
        <v>0</v>
      </c>
      <c r="BF66" s="225">
        <f t="shared" si="29"/>
        <v>0</v>
      </c>
      <c r="BG66" s="225">
        <f t="shared" si="2"/>
        <v>0</v>
      </c>
      <c r="BH66" s="225">
        <f t="shared" si="3"/>
        <v>0</v>
      </c>
      <c r="BI66" s="225">
        <f t="shared" si="4"/>
        <v>0</v>
      </c>
      <c r="BJ66" s="225">
        <f t="shared" si="5"/>
        <v>0</v>
      </c>
      <c r="BK66" s="225">
        <f t="shared" si="6"/>
        <v>0</v>
      </c>
      <c r="BL66" s="225">
        <f t="shared" si="7"/>
        <v>0</v>
      </c>
      <c r="BM66" s="225">
        <f t="shared" si="8"/>
        <v>0</v>
      </c>
      <c r="BN66" s="225">
        <f t="shared" si="30"/>
        <v>0</v>
      </c>
      <c r="BO66" s="225">
        <f t="shared" si="9"/>
        <v>0</v>
      </c>
      <c r="BP66" s="225"/>
      <c r="BQ66" s="225"/>
      <c r="BR66" s="225"/>
      <c r="BS66" s="225"/>
      <c r="BT66" s="225"/>
      <c r="BU66" s="225"/>
      <c r="BV66" s="225"/>
      <c r="BW66" s="225"/>
      <c r="BY66" s="176"/>
      <c r="BZ66" s="176"/>
      <c r="CA66" s="176"/>
      <c r="CB66" s="176"/>
      <c r="CC66" s="176"/>
      <c r="CD66" s="176"/>
      <c r="CE66" s="176"/>
      <c r="CF66" s="176"/>
      <c r="CH66" s="248"/>
      <c r="CI66" s="248"/>
      <c r="CJ66" s="248"/>
      <c r="CK66" s="248"/>
      <c r="CL66" s="248"/>
      <c r="CM66" s="248"/>
      <c r="CN66" s="248"/>
      <c r="CO66" s="248"/>
      <c r="CQ66" s="248"/>
      <c r="CR66" s="248"/>
      <c r="CS66" s="248"/>
      <c r="CT66" s="248"/>
      <c r="CU66" s="248"/>
      <c r="CV66" s="248"/>
      <c r="CW66" s="248"/>
      <c r="CX66" s="248"/>
      <c r="CY66" s="248"/>
      <c r="DA66" s="248"/>
      <c r="DB66" s="248"/>
      <c r="DC66" s="248"/>
      <c r="DD66" s="248"/>
      <c r="DE66" s="248"/>
      <c r="DF66" s="248"/>
      <c r="DG66" s="248"/>
      <c r="DH66" s="248"/>
      <c r="DJ66" s="179" t="e">
        <f>#REF!+((SUMIFS($F66:$AM66,$F$3:$AM$3,$DJ$7)*80%))+SUMIFS(#REF!,#REF!,$DJ$7)</f>
        <v>#REF!</v>
      </c>
      <c r="DK66" s="179">
        <f t="shared" si="32"/>
        <v>0</v>
      </c>
      <c r="DL66" s="173" t="e">
        <f t="shared" si="31"/>
        <v>#REF!</v>
      </c>
    </row>
    <row r="67" spans="1:116">
      <c r="A67" s="168">
        <v>2168</v>
      </c>
      <c r="B67" s="2">
        <v>143413</v>
      </c>
      <c r="C67" s="2" t="s">
        <v>269</v>
      </c>
      <c r="D67" s="30"/>
      <c r="E67" s="226"/>
      <c r="F67" s="176">
        <v>0</v>
      </c>
      <c r="G67" s="176">
        <v>0</v>
      </c>
      <c r="H67" s="176">
        <v>0</v>
      </c>
      <c r="I67" s="176">
        <v>0</v>
      </c>
      <c r="J67" s="176">
        <v>0</v>
      </c>
      <c r="K67" s="176">
        <v>0</v>
      </c>
      <c r="L67" s="30">
        <f t="shared" si="11"/>
        <v>0</v>
      </c>
      <c r="M67" s="176">
        <f t="shared" si="12"/>
        <v>0</v>
      </c>
      <c r="N67" s="226"/>
      <c r="O67" s="176">
        <v>0</v>
      </c>
      <c r="P67" s="176">
        <v>0</v>
      </c>
      <c r="Q67" s="176">
        <v>0</v>
      </c>
      <c r="R67" s="176">
        <v>0</v>
      </c>
      <c r="S67" s="176">
        <v>0</v>
      </c>
      <c r="T67" s="176">
        <v>0</v>
      </c>
      <c r="U67" s="176">
        <f t="shared" si="13"/>
        <v>0</v>
      </c>
      <c r="V67" s="176">
        <f t="shared" si="14"/>
        <v>0</v>
      </c>
      <c r="W67" s="226"/>
      <c r="X67" s="247"/>
      <c r="Y67" s="176">
        <v>0</v>
      </c>
      <c r="Z67" s="176">
        <v>0</v>
      </c>
      <c r="AA67" s="176">
        <v>0</v>
      </c>
      <c r="AB67" s="176">
        <v>0</v>
      </c>
      <c r="AC67" s="176">
        <v>0</v>
      </c>
      <c r="AD67" s="176">
        <f t="shared" si="15"/>
        <v>0</v>
      </c>
      <c r="AE67" s="247">
        <f t="shared" si="16"/>
        <v>0</v>
      </c>
      <c r="AF67" s="226"/>
      <c r="AG67" s="247">
        <v>0</v>
      </c>
      <c r="AH67" s="247">
        <v>0</v>
      </c>
      <c r="AI67" s="247">
        <v>0</v>
      </c>
      <c r="AJ67" s="226"/>
      <c r="AK67" s="247">
        <f t="shared" si="17"/>
        <v>0</v>
      </c>
      <c r="AL67" s="247">
        <f t="shared" si="18"/>
        <v>0</v>
      </c>
      <c r="AM67" s="247">
        <f t="shared" si="19"/>
        <v>0</v>
      </c>
      <c r="AN67" s="225"/>
      <c r="AO67" s="225">
        <v>0</v>
      </c>
      <c r="AP67" s="225">
        <v>0</v>
      </c>
      <c r="AQ67" s="225">
        <v>0</v>
      </c>
      <c r="AR67" s="225">
        <v>0</v>
      </c>
      <c r="AS67" s="225">
        <v>0</v>
      </c>
      <c r="AT67" s="225">
        <v>0</v>
      </c>
      <c r="AU67" s="225">
        <v>0</v>
      </c>
      <c r="AV67" s="225">
        <f t="shared" si="20"/>
        <v>0</v>
      </c>
      <c r="AX67" s="225">
        <f t="shared" si="21"/>
        <v>0</v>
      </c>
      <c r="AY67" s="225">
        <f t="shared" si="22"/>
        <v>0</v>
      </c>
      <c r="AZ67" s="225">
        <f t="shared" si="23"/>
        <v>0</v>
      </c>
      <c r="BA67" s="225">
        <f t="shared" si="24"/>
        <v>0</v>
      </c>
      <c r="BB67" s="225">
        <f t="shared" si="25"/>
        <v>0</v>
      </c>
      <c r="BC67" s="225">
        <f t="shared" si="26"/>
        <v>0</v>
      </c>
      <c r="BD67" s="225">
        <f t="shared" si="27"/>
        <v>0</v>
      </c>
      <c r="BE67" s="225">
        <f t="shared" si="28"/>
        <v>0</v>
      </c>
      <c r="BF67" s="225">
        <f t="shared" si="29"/>
        <v>0</v>
      </c>
      <c r="BG67" s="225">
        <f t="shared" si="2"/>
        <v>0</v>
      </c>
      <c r="BH67" s="225">
        <f t="shared" si="3"/>
        <v>0</v>
      </c>
      <c r="BI67" s="225">
        <f t="shared" si="4"/>
        <v>0</v>
      </c>
      <c r="BJ67" s="225">
        <f t="shared" si="5"/>
        <v>0</v>
      </c>
      <c r="BK67" s="225">
        <f t="shared" si="6"/>
        <v>0</v>
      </c>
      <c r="BL67" s="225">
        <f t="shared" si="7"/>
        <v>0</v>
      </c>
      <c r="BM67" s="225">
        <f t="shared" si="8"/>
        <v>0</v>
      </c>
      <c r="BN67" s="225">
        <f t="shared" si="30"/>
        <v>0</v>
      </c>
      <c r="BO67" s="225">
        <f t="shared" si="9"/>
        <v>0</v>
      </c>
      <c r="BP67" s="225"/>
      <c r="BQ67" s="225"/>
      <c r="BR67" s="225"/>
      <c r="BS67" s="225"/>
      <c r="BT67" s="225"/>
      <c r="BU67" s="225"/>
      <c r="BV67" s="225"/>
      <c r="BW67" s="225"/>
      <c r="BY67" s="176"/>
      <c r="BZ67" s="176"/>
      <c r="CA67" s="176"/>
      <c r="CB67" s="176"/>
      <c r="CC67" s="176"/>
      <c r="CD67" s="176"/>
      <c r="CE67" s="176"/>
      <c r="CF67" s="176"/>
      <c r="CH67" s="248"/>
      <c r="CI67" s="248"/>
      <c r="CJ67" s="248"/>
      <c r="CK67" s="248"/>
      <c r="CL67" s="248"/>
      <c r="CM67" s="248"/>
      <c r="CN67" s="248"/>
      <c r="CO67" s="248"/>
      <c r="CQ67" s="248"/>
      <c r="CR67" s="248"/>
      <c r="CS67" s="248"/>
      <c r="CT67" s="248"/>
      <c r="CU67" s="248"/>
      <c r="CV67" s="248"/>
      <c r="CW67" s="248"/>
      <c r="CX67" s="248"/>
      <c r="CY67" s="248"/>
      <c r="DA67" s="248"/>
      <c r="DB67" s="248"/>
      <c r="DC67" s="248"/>
      <c r="DD67" s="248"/>
      <c r="DE67" s="248"/>
      <c r="DF67" s="248"/>
      <c r="DG67" s="248"/>
      <c r="DH67" s="248"/>
      <c r="DJ67" s="179" t="e">
        <f>#REF!+((SUMIFS($F67:$AM67,$F$3:$AM$3,$DJ$7)*80%))+SUMIFS(#REF!,#REF!,$DJ$7)</f>
        <v>#REF!</v>
      </c>
      <c r="DK67" s="179">
        <f t="shared" si="32"/>
        <v>0</v>
      </c>
      <c r="DL67" s="173" t="e">
        <f t="shared" si="31"/>
        <v>#REF!</v>
      </c>
    </row>
    <row r="68" spans="1:116">
      <c r="A68" s="168">
        <v>2036</v>
      </c>
      <c r="B68" s="2">
        <v>138194</v>
      </c>
      <c r="C68" s="2" t="s">
        <v>270</v>
      </c>
      <c r="D68" s="30"/>
      <c r="E68" s="226"/>
      <c r="F68" s="176">
        <v>0</v>
      </c>
      <c r="G68" s="176">
        <v>0</v>
      </c>
      <c r="H68" s="176">
        <v>28696.2</v>
      </c>
      <c r="I68" s="176">
        <v>975</v>
      </c>
      <c r="J68" s="176">
        <v>372.89473684210526</v>
      </c>
      <c r="K68" s="176">
        <v>0</v>
      </c>
      <c r="L68" s="30">
        <f t="shared" si="11"/>
        <v>30044.094736842108</v>
      </c>
      <c r="M68" s="176">
        <f t="shared" si="12"/>
        <v>24035.275789473686</v>
      </c>
      <c r="N68" s="226"/>
      <c r="O68" s="176">
        <v>0</v>
      </c>
      <c r="P68" s="176">
        <v>0</v>
      </c>
      <c r="Q68" s="176">
        <v>17659.2</v>
      </c>
      <c r="R68" s="176">
        <v>1170</v>
      </c>
      <c r="S68" s="176">
        <v>74.578947368421055</v>
      </c>
      <c r="T68" s="176">
        <v>0</v>
      </c>
      <c r="U68" s="176">
        <f t="shared" si="13"/>
        <v>18903.778947368421</v>
      </c>
      <c r="V68" s="176">
        <f t="shared" si="14"/>
        <v>15123.023157894737</v>
      </c>
      <c r="W68" s="226"/>
      <c r="X68" s="247"/>
      <c r="Y68" s="176">
        <v>0</v>
      </c>
      <c r="Z68" s="176">
        <v>22842.568421052631</v>
      </c>
      <c r="AA68" s="176">
        <v>909.47368421052624</v>
      </c>
      <c r="AB68" s="176">
        <v>239.13573407202216</v>
      </c>
      <c r="AC68" s="176">
        <v>0</v>
      </c>
      <c r="AD68" s="176">
        <f t="shared" si="15"/>
        <v>23991.177839335178</v>
      </c>
      <c r="AE68" s="247">
        <f t="shared" si="16"/>
        <v>19192.942271468142</v>
      </c>
      <c r="AF68" s="226"/>
      <c r="AG68" s="247">
        <v>941.85</v>
      </c>
      <c r="AH68" s="247">
        <v>674.69999999999993</v>
      </c>
      <c r="AI68" s="247">
        <v>778.73684210526312</v>
      </c>
      <c r="AJ68" s="226"/>
      <c r="AK68" s="247">
        <f t="shared" si="17"/>
        <v>753.48</v>
      </c>
      <c r="AL68" s="247">
        <f t="shared" si="18"/>
        <v>539.76</v>
      </c>
      <c r="AM68" s="247">
        <f t="shared" si="19"/>
        <v>622.98947368421057</v>
      </c>
      <c r="AN68" s="225"/>
      <c r="AO68" s="225">
        <v>0</v>
      </c>
      <c r="AP68" s="225">
        <v>0</v>
      </c>
      <c r="AQ68" s="225">
        <v>28696.2</v>
      </c>
      <c r="AR68" s="225">
        <v>1170</v>
      </c>
      <c r="AS68" s="225">
        <v>298.31578947368422</v>
      </c>
      <c r="AT68" s="225">
        <v>0</v>
      </c>
      <c r="AU68" s="225">
        <v>1107.5999999999999</v>
      </c>
      <c r="AV68" s="225">
        <f t="shared" si="20"/>
        <v>31272.115789473683</v>
      </c>
      <c r="AX68" s="225">
        <f t="shared" si="21"/>
        <v>0</v>
      </c>
      <c r="AY68" s="225">
        <f t="shared" si="22"/>
        <v>0</v>
      </c>
      <c r="AZ68" s="225">
        <f t="shared" si="23"/>
        <v>0</v>
      </c>
      <c r="BA68" s="225">
        <f t="shared" si="24"/>
        <v>195</v>
      </c>
      <c r="BB68" s="225">
        <f t="shared" si="25"/>
        <v>-74.578947368421041</v>
      </c>
      <c r="BC68" s="225">
        <f t="shared" si="26"/>
        <v>0</v>
      </c>
      <c r="BD68" s="225">
        <f t="shared" si="27"/>
        <v>165.74999999999989</v>
      </c>
      <c r="BE68" s="225">
        <f t="shared" si="28"/>
        <v>286.17105263157885</v>
      </c>
      <c r="BF68" s="225">
        <f t="shared" si="29"/>
        <v>0</v>
      </c>
      <c r="BG68" s="225">
        <f t="shared" si="2"/>
        <v>0</v>
      </c>
      <c r="BH68" s="225">
        <f t="shared" si="3"/>
        <v>0</v>
      </c>
      <c r="BI68" s="225">
        <f t="shared" si="4"/>
        <v>5739.239999999998</v>
      </c>
      <c r="BJ68" s="225">
        <f t="shared" si="5"/>
        <v>390</v>
      </c>
      <c r="BK68" s="225">
        <f t="shared" si="6"/>
        <v>0</v>
      </c>
      <c r="BL68" s="225">
        <f t="shared" si="7"/>
        <v>0</v>
      </c>
      <c r="BM68" s="225">
        <f t="shared" si="8"/>
        <v>354.11999999999989</v>
      </c>
      <c r="BN68" s="225">
        <f t="shared" si="30"/>
        <v>6483.3599999999979</v>
      </c>
      <c r="BO68" s="225">
        <f t="shared" si="9"/>
        <v>0</v>
      </c>
      <c r="BP68" s="225"/>
      <c r="BQ68" s="225"/>
      <c r="BR68" s="225"/>
      <c r="BS68" s="225"/>
      <c r="BT68" s="225"/>
      <c r="BU68" s="225"/>
      <c r="BV68" s="225"/>
      <c r="BW68" s="225"/>
      <c r="BY68" s="176"/>
      <c r="BZ68" s="176"/>
      <c r="CA68" s="176"/>
      <c r="CB68" s="176"/>
      <c r="CC68" s="176"/>
      <c r="CD68" s="176"/>
      <c r="CE68" s="176"/>
      <c r="CF68" s="176"/>
      <c r="CH68" s="248"/>
      <c r="CI68" s="248"/>
      <c r="CJ68" s="248"/>
      <c r="CK68" s="248"/>
      <c r="CL68" s="248"/>
      <c r="CM68" s="248"/>
      <c r="CN68" s="248"/>
      <c r="CO68" s="248"/>
      <c r="CQ68" s="248"/>
      <c r="CR68" s="248"/>
      <c r="CS68" s="248"/>
      <c r="CT68" s="248"/>
      <c r="CU68" s="248"/>
      <c r="CV68" s="248"/>
      <c r="CW68" s="248"/>
      <c r="CX68" s="248"/>
      <c r="CY68" s="248"/>
      <c r="DA68" s="248"/>
      <c r="DB68" s="248"/>
      <c r="DC68" s="248"/>
      <c r="DD68" s="248"/>
      <c r="DE68" s="248"/>
      <c r="DF68" s="248"/>
      <c r="DG68" s="248"/>
      <c r="DH68" s="248"/>
      <c r="DJ68" s="179" t="e">
        <f>#REF!+((SUMIFS($F68:$AM68,$F$3:$AM$3,$DJ$7)*80%))+SUMIFS(#REF!,#REF!,$DJ$7)</f>
        <v>#REF!</v>
      </c>
      <c r="DK68" s="179">
        <f t="shared" si="32"/>
        <v>0</v>
      </c>
      <c r="DL68" s="173" t="e">
        <f t="shared" si="31"/>
        <v>#REF!</v>
      </c>
    </row>
    <row r="69" spans="1:116">
      <c r="A69" s="168">
        <v>5410</v>
      </c>
      <c r="B69" s="2">
        <v>136908</v>
      </c>
      <c r="C69" s="2" t="s">
        <v>271</v>
      </c>
      <c r="D69" s="30"/>
      <c r="E69" s="226"/>
      <c r="F69" s="176">
        <v>0</v>
      </c>
      <c r="G69" s="176">
        <v>0</v>
      </c>
      <c r="H69" s="176">
        <v>0</v>
      </c>
      <c r="I69" s="176">
        <v>0</v>
      </c>
      <c r="J69" s="176">
        <v>0</v>
      </c>
      <c r="K69" s="176">
        <v>0</v>
      </c>
      <c r="L69" s="30">
        <f t="shared" si="11"/>
        <v>0</v>
      </c>
      <c r="M69" s="176">
        <f t="shared" si="12"/>
        <v>0</v>
      </c>
      <c r="N69" s="226"/>
      <c r="O69" s="176">
        <v>0</v>
      </c>
      <c r="P69" s="176">
        <v>0</v>
      </c>
      <c r="Q69" s="176">
        <v>0</v>
      </c>
      <c r="R69" s="176">
        <v>0</v>
      </c>
      <c r="S69" s="176">
        <v>0</v>
      </c>
      <c r="T69" s="176">
        <v>0</v>
      </c>
      <c r="U69" s="176">
        <f t="shared" si="13"/>
        <v>0</v>
      </c>
      <c r="V69" s="176">
        <f t="shared" si="14"/>
        <v>0</v>
      </c>
      <c r="W69" s="226"/>
      <c r="X69" s="247"/>
      <c r="Y69" s="176">
        <v>0</v>
      </c>
      <c r="Z69" s="176">
        <v>0</v>
      </c>
      <c r="AA69" s="176">
        <v>0</v>
      </c>
      <c r="AB69" s="176">
        <v>0</v>
      </c>
      <c r="AC69" s="176">
        <v>0</v>
      </c>
      <c r="AD69" s="176">
        <f t="shared" si="15"/>
        <v>0</v>
      </c>
      <c r="AE69" s="247">
        <f t="shared" si="16"/>
        <v>0</v>
      </c>
      <c r="AF69" s="226"/>
      <c r="AG69" s="247">
        <v>0</v>
      </c>
      <c r="AH69" s="247">
        <v>0</v>
      </c>
      <c r="AI69" s="247">
        <v>0</v>
      </c>
      <c r="AJ69" s="226"/>
      <c r="AK69" s="247">
        <f t="shared" si="17"/>
        <v>0</v>
      </c>
      <c r="AL69" s="247">
        <f t="shared" si="18"/>
        <v>0</v>
      </c>
      <c r="AM69" s="247">
        <f t="shared" si="19"/>
        <v>0</v>
      </c>
      <c r="AN69" s="225"/>
      <c r="AO69" s="225">
        <v>0</v>
      </c>
      <c r="AP69" s="225">
        <v>0</v>
      </c>
      <c r="AQ69" s="225">
        <v>0</v>
      </c>
      <c r="AR69" s="225">
        <v>0</v>
      </c>
      <c r="AS69" s="225">
        <v>0</v>
      </c>
      <c r="AT69" s="225">
        <v>0</v>
      </c>
      <c r="AU69" s="225">
        <v>0</v>
      </c>
      <c r="AV69" s="225">
        <f t="shared" si="20"/>
        <v>0</v>
      </c>
      <c r="AX69" s="225">
        <f t="shared" si="21"/>
        <v>0</v>
      </c>
      <c r="AY69" s="225">
        <f t="shared" si="22"/>
        <v>0</v>
      </c>
      <c r="AZ69" s="225">
        <f t="shared" si="23"/>
        <v>0</v>
      </c>
      <c r="BA69" s="225">
        <f t="shared" si="24"/>
        <v>0</v>
      </c>
      <c r="BB69" s="225">
        <f t="shared" si="25"/>
        <v>0</v>
      </c>
      <c r="BC69" s="225">
        <f t="shared" si="26"/>
        <v>0</v>
      </c>
      <c r="BD69" s="225">
        <f t="shared" si="27"/>
        <v>0</v>
      </c>
      <c r="BE69" s="225">
        <f t="shared" si="28"/>
        <v>0</v>
      </c>
      <c r="BF69" s="225">
        <f t="shared" si="29"/>
        <v>0</v>
      </c>
      <c r="BG69" s="225">
        <f t="shared" si="2"/>
        <v>0</v>
      </c>
      <c r="BH69" s="225">
        <f t="shared" si="3"/>
        <v>0</v>
      </c>
      <c r="BI69" s="225">
        <f t="shared" si="4"/>
        <v>0</v>
      </c>
      <c r="BJ69" s="225">
        <f t="shared" si="5"/>
        <v>0</v>
      </c>
      <c r="BK69" s="225">
        <f t="shared" si="6"/>
        <v>0</v>
      </c>
      <c r="BL69" s="225">
        <f t="shared" si="7"/>
        <v>0</v>
      </c>
      <c r="BM69" s="225">
        <f t="shared" si="8"/>
        <v>0</v>
      </c>
      <c r="BN69" s="225">
        <f t="shared" si="30"/>
        <v>0</v>
      </c>
      <c r="BO69" s="225">
        <f t="shared" si="9"/>
        <v>0</v>
      </c>
      <c r="BP69" s="225"/>
      <c r="BQ69" s="225"/>
      <c r="BR69" s="225"/>
      <c r="BS69" s="225"/>
      <c r="BT69" s="225"/>
      <c r="BU69" s="225"/>
      <c r="BV69" s="225"/>
      <c r="BW69" s="225"/>
      <c r="BY69" s="176"/>
      <c r="BZ69" s="176"/>
      <c r="CA69" s="176"/>
      <c r="CB69" s="176"/>
      <c r="CC69" s="176"/>
      <c r="CD69" s="176"/>
      <c r="CE69" s="176"/>
      <c r="CF69" s="176"/>
      <c r="CH69" s="248"/>
      <c r="CI69" s="248"/>
      <c r="CJ69" s="248"/>
      <c r="CK69" s="248"/>
      <c r="CL69" s="248"/>
      <c r="CM69" s="248"/>
      <c r="CN69" s="248"/>
      <c r="CO69" s="248"/>
      <c r="CQ69" s="248"/>
      <c r="CR69" s="248"/>
      <c r="CS69" s="248"/>
      <c r="CT69" s="248"/>
      <c r="CU69" s="248"/>
      <c r="CV69" s="248"/>
      <c r="CW69" s="248"/>
      <c r="CX69" s="248"/>
      <c r="CY69" s="248"/>
      <c r="DA69" s="248"/>
      <c r="DB69" s="248"/>
      <c r="DC69" s="248"/>
      <c r="DD69" s="248"/>
      <c r="DE69" s="248"/>
      <c r="DF69" s="248"/>
      <c r="DG69" s="248"/>
      <c r="DH69" s="248"/>
      <c r="DJ69" s="179" t="e">
        <f>#REF!+((SUMIFS($F69:$AM69,$F$3:$AM$3,$DJ$7)*80%))+SUMIFS(#REF!,#REF!,$DJ$7)</f>
        <v>#REF!</v>
      </c>
      <c r="DK69" s="179">
        <f t="shared" si="32"/>
        <v>0</v>
      </c>
      <c r="DL69" s="173" t="e">
        <f t="shared" si="31"/>
        <v>#REF!</v>
      </c>
    </row>
    <row r="70" spans="1:116">
      <c r="A70" s="168">
        <v>2310</v>
      </c>
      <c r="B70" s="2">
        <v>139484</v>
      </c>
      <c r="C70" s="2" t="s">
        <v>272</v>
      </c>
      <c r="D70" s="30"/>
      <c r="E70" s="226"/>
      <c r="F70" s="176">
        <v>0</v>
      </c>
      <c r="G70" s="176">
        <v>0</v>
      </c>
      <c r="H70" s="176">
        <v>0</v>
      </c>
      <c r="I70" s="176">
        <v>0</v>
      </c>
      <c r="J70" s="176">
        <v>0</v>
      </c>
      <c r="K70" s="176">
        <v>0</v>
      </c>
      <c r="L70" s="30">
        <f t="shared" si="11"/>
        <v>0</v>
      </c>
      <c r="M70" s="176">
        <f t="shared" si="12"/>
        <v>0</v>
      </c>
      <c r="N70" s="226"/>
      <c r="O70" s="176">
        <v>0</v>
      </c>
      <c r="P70" s="176">
        <v>0</v>
      </c>
      <c r="Q70" s="176">
        <v>0</v>
      </c>
      <c r="R70" s="176">
        <v>0</v>
      </c>
      <c r="S70" s="176">
        <v>0</v>
      </c>
      <c r="T70" s="176">
        <v>0</v>
      </c>
      <c r="U70" s="176">
        <f t="shared" si="13"/>
        <v>0</v>
      </c>
      <c r="V70" s="176">
        <f t="shared" si="14"/>
        <v>0</v>
      </c>
      <c r="W70" s="226"/>
      <c r="X70" s="247"/>
      <c r="Y70" s="176">
        <v>0</v>
      </c>
      <c r="Z70" s="176">
        <v>0</v>
      </c>
      <c r="AA70" s="176">
        <v>0</v>
      </c>
      <c r="AB70" s="176">
        <v>0</v>
      </c>
      <c r="AC70" s="176">
        <v>0</v>
      </c>
      <c r="AD70" s="176">
        <f t="shared" si="15"/>
        <v>0</v>
      </c>
      <c r="AE70" s="247">
        <f t="shared" si="16"/>
        <v>0</v>
      </c>
      <c r="AF70" s="226"/>
      <c r="AG70" s="247">
        <v>0</v>
      </c>
      <c r="AH70" s="247">
        <v>0</v>
      </c>
      <c r="AI70" s="247">
        <v>0</v>
      </c>
      <c r="AJ70" s="226"/>
      <c r="AK70" s="247">
        <f t="shared" si="17"/>
        <v>0</v>
      </c>
      <c r="AL70" s="247">
        <f t="shared" si="18"/>
        <v>0</v>
      </c>
      <c r="AM70" s="247">
        <f t="shared" si="19"/>
        <v>0</v>
      </c>
      <c r="AN70" s="225"/>
      <c r="AO70" s="225">
        <v>0</v>
      </c>
      <c r="AP70" s="225">
        <v>0</v>
      </c>
      <c r="AQ70" s="225">
        <v>0</v>
      </c>
      <c r="AR70" s="225">
        <v>0</v>
      </c>
      <c r="AS70" s="225">
        <v>0</v>
      </c>
      <c r="AT70" s="225">
        <v>0</v>
      </c>
      <c r="AU70" s="225">
        <v>0</v>
      </c>
      <c r="AV70" s="225">
        <f t="shared" si="20"/>
        <v>0</v>
      </c>
      <c r="AX70" s="225">
        <f t="shared" si="21"/>
        <v>0</v>
      </c>
      <c r="AY70" s="225">
        <f t="shared" si="22"/>
        <v>0</v>
      </c>
      <c r="AZ70" s="225">
        <f t="shared" si="23"/>
        <v>0</v>
      </c>
      <c r="BA70" s="225">
        <f t="shared" si="24"/>
        <v>0</v>
      </c>
      <c r="BB70" s="225">
        <f t="shared" si="25"/>
        <v>0</v>
      </c>
      <c r="BC70" s="225">
        <f t="shared" si="26"/>
        <v>0</v>
      </c>
      <c r="BD70" s="225">
        <f t="shared" si="27"/>
        <v>0</v>
      </c>
      <c r="BE70" s="225">
        <f t="shared" si="28"/>
        <v>0</v>
      </c>
      <c r="BF70" s="225">
        <f t="shared" si="29"/>
        <v>0</v>
      </c>
      <c r="BG70" s="225">
        <f t="shared" si="2"/>
        <v>0</v>
      </c>
      <c r="BH70" s="225">
        <f t="shared" si="3"/>
        <v>0</v>
      </c>
      <c r="BI70" s="225">
        <f t="shared" si="4"/>
        <v>0</v>
      </c>
      <c r="BJ70" s="225">
        <f t="shared" si="5"/>
        <v>0</v>
      </c>
      <c r="BK70" s="225">
        <f t="shared" si="6"/>
        <v>0</v>
      </c>
      <c r="BL70" s="225">
        <f t="shared" si="7"/>
        <v>0</v>
      </c>
      <c r="BM70" s="225">
        <f t="shared" si="8"/>
        <v>0</v>
      </c>
      <c r="BN70" s="225">
        <f t="shared" si="30"/>
        <v>0</v>
      </c>
      <c r="BO70" s="225">
        <f t="shared" si="9"/>
        <v>0</v>
      </c>
      <c r="BP70" s="225"/>
      <c r="BQ70" s="225"/>
      <c r="BR70" s="225"/>
      <c r="BS70" s="225"/>
      <c r="BT70" s="225"/>
      <c r="BU70" s="225"/>
      <c r="BV70" s="225"/>
      <c r="BW70" s="225"/>
      <c r="BY70" s="176"/>
      <c r="BZ70" s="176"/>
      <c r="CA70" s="176"/>
      <c r="CB70" s="176"/>
      <c r="CC70" s="176"/>
      <c r="CD70" s="176"/>
      <c r="CE70" s="176"/>
      <c r="CF70" s="176"/>
      <c r="CH70" s="248"/>
      <c r="CI70" s="248"/>
      <c r="CJ70" s="248"/>
      <c r="CK70" s="248"/>
      <c r="CL70" s="248"/>
      <c r="CM70" s="248"/>
      <c r="CN70" s="248"/>
      <c r="CO70" s="248"/>
      <c r="CQ70" s="248"/>
      <c r="CR70" s="248"/>
      <c r="CS70" s="248"/>
      <c r="CT70" s="248"/>
      <c r="CU70" s="248"/>
      <c r="CV70" s="248"/>
      <c r="CW70" s="248"/>
      <c r="CX70" s="248"/>
      <c r="CY70" s="248"/>
      <c r="DA70" s="248"/>
      <c r="DB70" s="248"/>
      <c r="DC70" s="248"/>
      <c r="DD70" s="248"/>
      <c r="DE70" s="248"/>
      <c r="DF70" s="248"/>
      <c r="DG70" s="248"/>
      <c r="DH70" s="248"/>
      <c r="DJ70" s="179" t="e">
        <f>#REF!+((SUMIFS($F70:$AM70,$F$3:$AM$3,$DJ$7)*80%))+SUMIFS(#REF!,#REF!,$DJ$7)</f>
        <v>#REF!</v>
      </c>
      <c r="DK70" s="179">
        <f t="shared" si="32"/>
        <v>0</v>
      </c>
      <c r="DL70" s="173" t="e">
        <f t="shared" si="31"/>
        <v>#REF!</v>
      </c>
    </row>
    <row r="71" spans="1:116">
      <c r="A71" s="168">
        <v>2475</v>
      </c>
      <c r="B71" s="2">
        <v>143089</v>
      </c>
      <c r="C71" s="2" t="s">
        <v>273</v>
      </c>
      <c r="D71" s="30"/>
      <c r="E71" s="226"/>
      <c r="F71" s="176">
        <v>0</v>
      </c>
      <c r="G71" s="176">
        <v>0</v>
      </c>
      <c r="H71" s="176">
        <v>0</v>
      </c>
      <c r="I71" s="176">
        <v>0</v>
      </c>
      <c r="J71" s="176">
        <v>0</v>
      </c>
      <c r="K71" s="176">
        <v>0</v>
      </c>
      <c r="L71" s="30">
        <f t="shared" si="11"/>
        <v>0</v>
      </c>
      <c r="M71" s="176">
        <f t="shared" si="12"/>
        <v>0</v>
      </c>
      <c r="N71" s="226"/>
      <c r="O71" s="176">
        <v>0</v>
      </c>
      <c r="P71" s="176">
        <v>0</v>
      </c>
      <c r="Q71" s="176">
        <v>0</v>
      </c>
      <c r="R71" s="176">
        <v>0</v>
      </c>
      <c r="S71" s="176">
        <v>0</v>
      </c>
      <c r="T71" s="176">
        <v>0</v>
      </c>
      <c r="U71" s="176">
        <f t="shared" si="13"/>
        <v>0</v>
      </c>
      <c r="V71" s="176">
        <f t="shared" si="14"/>
        <v>0</v>
      </c>
      <c r="W71" s="226"/>
      <c r="X71" s="247"/>
      <c r="Y71" s="176">
        <v>0</v>
      </c>
      <c r="Z71" s="176">
        <v>0</v>
      </c>
      <c r="AA71" s="176">
        <v>0</v>
      </c>
      <c r="AB71" s="176">
        <v>0</v>
      </c>
      <c r="AC71" s="176">
        <v>0</v>
      </c>
      <c r="AD71" s="176">
        <f t="shared" si="15"/>
        <v>0</v>
      </c>
      <c r="AE71" s="247">
        <f t="shared" si="16"/>
        <v>0</v>
      </c>
      <c r="AF71" s="226"/>
      <c r="AG71" s="247">
        <v>0</v>
      </c>
      <c r="AH71" s="247">
        <v>0</v>
      </c>
      <c r="AI71" s="247">
        <v>0</v>
      </c>
      <c r="AJ71" s="226"/>
      <c r="AK71" s="247">
        <f t="shared" si="17"/>
        <v>0</v>
      </c>
      <c r="AL71" s="247">
        <f t="shared" si="18"/>
        <v>0</v>
      </c>
      <c r="AM71" s="247">
        <f t="shared" si="19"/>
        <v>0</v>
      </c>
      <c r="AN71" s="225"/>
      <c r="AO71" s="225">
        <v>0</v>
      </c>
      <c r="AP71" s="225">
        <v>0</v>
      </c>
      <c r="AQ71" s="225">
        <v>0</v>
      </c>
      <c r="AR71" s="225">
        <v>0</v>
      </c>
      <c r="AS71" s="225">
        <v>0</v>
      </c>
      <c r="AT71" s="225">
        <v>0</v>
      </c>
      <c r="AU71" s="225">
        <v>0</v>
      </c>
      <c r="AV71" s="225">
        <f t="shared" si="20"/>
        <v>0</v>
      </c>
      <c r="AX71" s="225">
        <f t="shared" si="21"/>
        <v>0</v>
      </c>
      <c r="AY71" s="225">
        <f t="shared" si="22"/>
        <v>0</v>
      </c>
      <c r="AZ71" s="225">
        <f t="shared" si="23"/>
        <v>0</v>
      </c>
      <c r="BA71" s="225">
        <f t="shared" si="24"/>
        <v>0</v>
      </c>
      <c r="BB71" s="225">
        <f t="shared" si="25"/>
        <v>0</v>
      </c>
      <c r="BC71" s="225">
        <f t="shared" si="26"/>
        <v>0</v>
      </c>
      <c r="BD71" s="225">
        <f t="shared" si="27"/>
        <v>0</v>
      </c>
      <c r="BE71" s="225">
        <f t="shared" si="28"/>
        <v>0</v>
      </c>
      <c r="BF71" s="225">
        <f t="shared" si="29"/>
        <v>0</v>
      </c>
      <c r="BG71" s="225">
        <f t="shared" si="2"/>
        <v>0</v>
      </c>
      <c r="BH71" s="225">
        <f t="shared" si="3"/>
        <v>0</v>
      </c>
      <c r="BI71" s="225">
        <f t="shared" si="4"/>
        <v>0</v>
      </c>
      <c r="BJ71" s="225">
        <f t="shared" si="5"/>
        <v>0</v>
      </c>
      <c r="BK71" s="225">
        <f t="shared" si="6"/>
        <v>0</v>
      </c>
      <c r="BL71" s="225">
        <f t="shared" si="7"/>
        <v>0</v>
      </c>
      <c r="BM71" s="225">
        <f t="shared" si="8"/>
        <v>0</v>
      </c>
      <c r="BN71" s="225">
        <f t="shared" si="30"/>
        <v>0</v>
      </c>
      <c r="BO71" s="225">
        <f t="shared" si="9"/>
        <v>0</v>
      </c>
      <c r="BP71" s="225"/>
      <c r="BQ71" s="225"/>
      <c r="BR71" s="225"/>
      <c r="BS71" s="225"/>
      <c r="BT71" s="225"/>
      <c r="BU71" s="225"/>
      <c r="BV71" s="225"/>
      <c r="BW71" s="225"/>
      <c r="BY71" s="176"/>
      <c r="BZ71" s="176"/>
      <c r="CA71" s="176"/>
      <c r="CB71" s="176"/>
      <c r="CC71" s="176"/>
      <c r="CD71" s="176"/>
      <c r="CE71" s="176"/>
      <c r="CF71" s="176"/>
      <c r="CH71" s="248"/>
      <c r="CI71" s="248"/>
      <c r="CJ71" s="248"/>
      <c r="CK71" s="248"/>
      <c r="CL71" s="248"/>
      <c r="CM71" s="248"/>
      <c r="CN71" s="248"/>
      <c r="CO71" s="248"/>
      <c r="CQ71" s="248"/>
      <c r="CR71" s="248"/>
      <c r="CS71" s="248"/>
      <c r="CT71" s="248"/>
      <c r="CU71" s="248"/>
      <c r="CV71" s="248"/>
      <c r="CW71" s="248"/>
      <c r="CX71" s="248"/>
      <c r="CY71" s="248"/>
      <c r="DA71" s="248"/>
      <c r="DB71" s="248"/>
      <c r="DC71" s="248"/>
      <c r="DD71" s="248"/>
      <c r="DE71" s="248"/>
      <c r="DF71" s="248"/>
      <c r="DG71" s="248"/>
      <c r="DH71" s="248"/>
      <c r="DJ71" s="179" t="e">
        <f>#REF!+((SUMIFS($F71:$AM71,$F$3:$AM$3,$DJ$7)*80%))+SUMIFS(#REF!,#REF!,$DJ$7)</f>
        <v>#REF!</v>
      </c>
      <c r="DK71" s="179">
        <f t="shared" si="32"/>
        <v>0</v>
      </c>
      <c r="DL71" s="173" t="e">
        <f t="shared" si="31"/>
        <v>#REF!</v>
      </c>
    </row>
    <row r="72" spans="1:116">
      <c r="A72" s="168">
        <v>5403</v>
      </c>
      <c r="B72" s="2">
        <v>143435</v>
      </c>
      <c r="C72" s="2" t="s">
        <v>274</v>
      </c>
      <c r="D72" s="30"/>
      <c r="E72" s="226"/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30">
        <f t="shared" si="11"/>
        <v>0</v>
      </c>
      <c r="M72" s="176">
        <f t="shared" si="12"/>
        <v>0</v>
      </c>
      <c r="N72" s="226"/>
      <c r="O72" s="176">
        <v>0</v>
      </c>
      <c r="P72" s="176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f t="shared" si="13"/>
        <v>0</v>
      </c>
      <c r="V72" s="176">
        <f t="shared" si="14"/>
        <v>0</v>
      </c>
      <c r="W72" s="226"/>
      <c r="X72" s="247"/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f t="shared" si="15"/>
        <v>0</v>
      </c>
      <c r="AE72" s="247">
        <f t="shared" si="16"/>
        <v>0</v>
      </c>
      <c r="AF72" s="226"/>
      <c r="AG72" s="247">
        <v>0</v>
      </c>
      <c r="AH72" s="247">
        <v>0</v>
      </c>
      <c r="AI72" s="247">
        <v>0</v>
      </c>
      <c r="AJ72" s="226"/>
      <c r="AK72" s="247">
        <f t="shared" si="17"/>
        <v>0</v>
      </c>
      <c r="AL72" s="247">
        <f t="shared" si="18"/>
        <v>0</v>
      </c>
      <c r="AM72" s="247">
        <f t="shared" si="19"/>
        <v>0</v>
      </c>
      <c r="AN72" s="225"/>
      <c r="AO72" s="225">
        <v>0</v>
      </c>
      <c r="AP72" s="225">
        <v>0</v>
      </c>
      <c r="AQ72" s="225">
        <v>0</v>
      </c>
      <c r="AR72" s="225">
        <v>0</v>
      </c>
      <c r="AS72" s="225">
        <v>0</v>
      </c>
      <c r="AT72" s="225">
        <v>0</v>
      </c>
      <c r="AU72" s="225">
        <v>0</v>
      </c>
      <c r="AV72" s="225">
        <f t="shared" si="20"/>
        <v>0</v>
      </c>
      <c r="AX72" s="225">
        <f t="shared" si="21"/>
        <v>0</v>
      </c>
      <c r="AY72" s="225">
        <f t="shared" si="22"/>
        <v>0</v>
      </c>
      <c r="AZ72" s="225">
        <f t="shared" si="23"/>
        <v>0</v>
      </c>
      <c r="BA72" s="225">
        <f t="shared" si="24"/>
        <v>0</v>
      </c>
      <c r="BB72" s="225">
        <f t="shared" si="25"/>
        <v>0</v>
      </c>
      <c r="BC72" s="225">
        <f t="shared" si="26"/>
        <v>0</v>
      </c>
      <c r="BD72" s="225">
        <f t="shared" si="27"/>
        <v>0</v>
      </c>
      <c r="BE72" s="225">
        <f t="shared" si="28"/>
        <v>0</v>
      </c>
      <c r="BF72" s="225">
        <f t="shared" si="29"/>
        <v>0</v>
      </c>
      <c r="BG72" s="225">
        <f t="shared" ref="BG72:BG135" si="33">AO72-(F72*80%)</f>
        <v>0</v>
      </c>
      <c r="BH72" s="225">
        <f t="shared" ref="BH72:BH135" si="34">AP72-(G72*80%)</f>
        <v>0</v>
      </c>
      <c r="BI72" s="225">
        <f t="shared" ref="BI72:BI135" si="35">AQ72-(H72*80%)</f>
        <v>0</v>
      </c>
      <c r="BJ72" s="225">
        <f t="shared" ref="BJ72:BJ135" si="36">AR72-(I72*80%)</f>
        <v>0</v>
      </c>
      <c r="BK72" s="225">
        <f t="shared" ref="BK72:BK135" si="37">AS72-(J72*80%)</f>
        <v>0</v>
      </c>
      <c r="BL72" s="225">
        <f t="shared" ref="BL72:BL135" si="38">AT72-(K72*80%)</f>
        <v>0</v>
      </c>
      <c r="BM72" s="225">
        <f t="shared" ref="BM72:BM135" si="39">AU72-(AG72*80%)</f>
        <v>0</v>
      </c>
      <c r="BN72" s="225">
        <f t="shared" si="30"/>
        <v>0</v>
      </c>
      <c r="BO72" s="225">
        <f t="shared" ref="BO72:BO135" si="40">(M72+AK72+BN72)-AV72</f>
        <v>0</v>
      </c>
      <c r="BP72" s="225"/>
      <c r="BQ72" s="225"/>
      <c r="BR72" s="225"/>
      <c r="BS72" s="225"/>
      <c r="BT72" s="225"/>
      <c r="BU72" s="225"/>
      <c r="BV72" s="225"/>
      <c r="BW72" s="225"/>
      <c r="BY72" s="176"/>
      <c r="BZ72" s="176"/>
      <c r="CA72" s="176"/>
      <c r="CB72" s="176"/>
      <c r="CC72" s="176"/>
      <c r="CD72" s="176"/>
      <c r="CE72" s="176"/>
      <c r="CF72" s="176"/>
      <c r="CH72" s="248"/>
      <c r="CI72" s="248"/>
      <c r="CJ72" s="248"/>
      <c r="CK72" s="248"/>
      <c r="CL72" s="248"/>
      <c r="CM72" s="248"/>
      <c r="CN72" s="248"/>
      <c r="CO72" s="248"/>
      <c r="CQ72" s="248"/>
      <c r="CR72" s="248"/>
      <c r="CS72" s="248"/>
      <c r="CT72" s="248"/>
      <c r="CU72" s="248"/>
      <c r="CV72" s="248"/>
      <c r="CW72" s="248"/>
      <c r="CX72" s="248"/>
      <c r="CY72" s="248"/>
      <c r="DA72" s="248"/>
      <c r="DB72" s="248"/>
      <c r="DC72" s="248"/>
      <c r="DD72" s="248"/>
      <c r="DE72" s="248"/>
      <c r="DF72" s="248"/>
      <c r="DG72" s="248"/>
      <c r="DH72" s="248"/>
      <c r="DJ72" s="179" t="e">
        <f>#REF!+((SUMIFS($F72:$AM72,$F$3:$AM$3,$DJ$7)*80%))+SUMIFS(#REF!,#REF!,$DJ$7)</f>
        <v>#REF!</v>
      </c>
      <c r="DK72" s="179">
        <f t="shared" ref="DK72:DK103" si="41">(SUMIFS($F72:$AM72,$F$3:$AM$3,$DK$7)*80%)</f>
        <v>0</v>
      </c>
      <c r="DL72" s="173" t="e">
        <f t="shared" si="31"/>
        <v>#REF!</v>
      </c>
    </row>
    <row r="73" spans="1:116">
      <c r="A73" s="168">
        <v>4005</v>
      </c>
      <c r="B73" s="2">
        <v>139047</v>
      </c>
      <c r="C73" s="2" t="s">
        <v>275</v>
      </c>
      <c r="D73" s="30"/>
      <c r="E73" s="226"/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30">
        <f t="shared" ref="L73:L136" si="42">SUM(F73:K73)</f>
        <v>0</v>
      </c>
      <c r="M73" s="176">
        <f t="shared" ref="M73:M136" si="43">L73*80%</f>
        <v>0</v>
      </c>
      <c r="N73" s="226"/>
      <c r="O73" s="176">
        <v>0</v>
      </c>
      <c r="P73" s="176">
        <v>0</v>
      </c>
      <c r="Q73" s="176">
        <v>0</v>
      </c>
      <c r="R73" s="176">
        <v>0</v>
      </c>
      <c r="S73" s="176">
        <v>0</v>
      </c>
      <c r="T73" s="176">
        <v>0</v>
      </c>
      <c r="U73" s="176">
        <f t="shared" ref="U73:U136" si="44">SUM(O73:T73)</f>
        <v>0</v>
      </c>
      <c r="V73" s="176">
        <f t="shared" ref="V73:V136" si="45">U73*80%</f>
        <v>0</v>
      </c>
      <c r="W73" s="226"/>
      <c r="X73" s="247"/>
      <c r="Y73" s="176">
        <v>0</v>
      </c>
      <c r="Z73" s="176">
        <v>0</v>
      </c>
      <c r="AA73" s="176">
        <v>0</v>
      </c>
      <c r="AB73" s="176">
        <v>0</v>
      </c>
      <c r="AC73" s="176">
        <v>0</v>
      </c>
      <c r="AD73" s="176">
        <f t="shared" ref="AD73:AD136" si="46">SUM(X73:AC73)</f>
        <v>0</v>
      </c>
      <c r="AE73" s="247">
        <f t="shared" ref="AE73:AE136" si="47">AD73*80%</f>
        <v>0</v>
      </c>
      <c r="AF73" s="226"/>
      <c r="AG73" s="247">
        <v>0</v>
      </c>
      <c r="AH73" s="247">
        <v>0</v>
      </c>
      <c r="AI73" s="247">
        <v>0</v>
      </c>
      <c r="AJ73" s="226"/>
      <c r="AK73" s="247">
        <f t="shared" ref="AK73:AK136" si="48">AG73*80%</f>
        <v>0</v>
      </c>
      <c r="AL73" s="247">
        <f t="shared" ref="AL73:AL136" si="49">AH73*80%</f>
        <v>0</v>
      </c>
      <c r="AM73" s="247">
        <f t="shared" ref="AM73:AM136" si="50">AI73*80%</f>
        <v>0</v>
      </c>
      <c r="AN73" s="225"/>
      <c r="AO73" s="225">
        <v>0</v>
      </c>
      <c r="AP73" s="225">
        <v>0</v>
      </c>
      <c r="AQ73" s="225">
        <v>0</v>
      </c>
      <c r="AR73" s="225">
        <v>0</v>
      </c>
      <c r="AS73" s="225">
        <v>0</v>
      </c>
      <c r="AT73" s="225">
        <v>0</v>
      </c>
      <c r="AU73" s="225">
        <v>0</v>
      </c>
      <c r="AV73" s="225">
        <f t="shared" ref="AV73:AV136" si="51">SUM(AO73:AU73)</f>
        <v>0</v>
      </c>
      <c r="AX73" s="225">
        <f t="shared" ref="AX73:AX136" si="52">AO73-F73</f>
        <v>0</v>
      </c>
      <c r="AY73" s="225">
        <f t="shared" ref="AY73:AY136" si="53">AP73-G73</f>
        <v>0</v>
      </c>
      <c r="AZ73" s="225">
        <f t="shared" ref="AZ73:AZ136" si="54">AQ73-H73</f>
        <v>0</v>
      </c>
      <c r="BA73" s="225">
        <f t="shared" ref="BA73:BA136" si="55">AR73-I73</f>
        <v>0</v>
      </c>
      <c r="BB73" s="225">
        <f t="shared" ref="BB73:BB136" si="56">AS73-J73</f>
        <v>0</v>
      </c>
      <c r="BC73" s="225">
        <f t="shared" ref="BC73:BC136" si="57">AT73-K73</f>
        <v>0</v>
      </c>
      <c r="BD73" s="225">
        <f t="shared" ref="BD73:BD136" si="58">AU73-AG73</f>
        <v>0</v>
      </c>
      <c r="BE73" s="225">
        <f t="shared" ref="BE73:BE136" si="59">SUM(AX73:BD73)</f>
        <v>0</v>
      </c>
      <c r="BF73" s="225">
        <f t="shared" ref="BF73:BF136" si="60">(L73+AG73+BE73)-AV73</f>
        <v>0</v>
      </c>
      <c r="BG73" s="225">
        <f t="shared" si="33"/>
        <v>0</v>
      </c>
      <c r="BH73" s="225">
        <f t="shared" si="34"/>
        <v>0</v>
      </c>
      <c r="BI73" s="225">
        <f t="shared" si="35"/>
        <v>0</v>
      </c>
      <c r="BJ73" s="225">
        <f t="shared" si="36"/>
        <v>0</v>
      </c>
      <c r="BK73" s="225">
        <f t="shared" si="37"/>
        <v>0</v>
      </c>
      <c r="BL73" s="225">
        <f t="shared" si="38"/>
        <v>0</v>
      </c>
      <c r="BM73" s="225">
        <f t="shared" si="39"/>
        <v>0</v>
      </c>
      <c r="BN73" s="225">
        <f t="shared" ref="BN73:BN136" si="61">SUM(BG73:BM73)</f>
        <v>0</v>
      </c>
      <c r="BO73" s="225">
        <f t="shared" si="40"/>
        <v>0</v>
      </c>
      <c r="BP73" s="225"/>
      <c r="BQ73" s="225"/>
      <c r="BR73" s="225"/>
      <c r="BS73" s="225"/>
      <c r="BT73" s="225"/>
      <c r="BU73" s="225"/>
      <c r="BV73" s="225"/>
      <c r="BW73" s="225"/>
      <c r="BY73" s="176"/>
      <c r="BZ73" s="176"/>
      <c r="CA73" s="176"/>
      <c r="CB73" s="176"/>
      <c r="CC73" s="176"/>
      <c r="CD73" s="176"/>
      <c r="CE73" s="176"/>
      <c r="CF73" s="176"/>
      <c r="CH73" s="248"/>
      <c r="CI73" s="248"/>
      <c r="CJ73" s="248"/>
      <c r="CK73" s="248"/>
      <c r="CL73" s="248"/>
      <c r="CM73" s="248"/>
      <c r="CN73" s="248"/>
      <c r="CO73" s="248"/>
      <c r="CQ73" s="248"/>
      <c r="CR73" s="248"/>
      <c r="CS73" s="248"/>
      <c r="CT73" s="248"/>
      <c r="CU73" s="248"/>
      <c r="CV73" s="248"/>
      <c r="CW73" s="248"/>
      <c r="CX73" s="248"/>
      <c r="CY73" s="248"/>
      <c r="DA73" s="248"/>
      <c r="DB73" s="248"/>
      <c r="DC73" s="248"/>
      <c r="DD73" s="248"/>
      <c r="DE73" s="248"/>
      <c r="DF73" s="248"/>
      <c r="DG73" s="248"/>
      <c r="DH73" s="248"/>
      <c r="DJ73" s="179" t="e">
        <f>#REF!+((SUMIFS($F73:$AM73,$F$3:$AM$3,$DJ$7)*80%))+SUMIFS(#REF!,#REF!,$DJ$7)</f>
        <v>#REF!</v>
      </c>
      <c r="DK73" s="179">
        <f t="shared" si="41"/>
        <v>0</v>
      </c>
      <c r="DL73" s="173" t="e">
        <f t="shared" ref="DL73:DL136" si="62">DJ73+DK73</f>
        <v>#REF!</v>
      </c>
    </row>
    <row r="74" spans="1:116">
      <c r="A74" s="168">
        <v>2109</v>
      </c>
      <c r="B74" s="2">
        <v>139131</v>
      </c>
      <c r="C74" s="2" t="s">
        <v>276</v>
      </c>
      <c r="D74" s="30"/>
      <c r="E74" s="226"/>
      <c r="F74" s="176">
        <v>0</v>
      </c>
      <c r="G74" s="176">
        <v>0</v>
      </c>
      <c r="H74" s="176">
        <v>26488.799999999999</v>
      </c>
      <c r="I74" s="176">
        <v>0</v>
      </c>
      <c r="J74" s="176">
        <v>0</v>
      </c>
      <c r="K74" s="176">
        <v>0</v>
      </c>
      <c r="L74" s="30">
        <f t="shared" si="42"/>
        <v>26488.799999999999</v>
      </c>
      <c r="M74" s="176">
        <f t="shared" si="43"/>
        <v>21191.040000000001</v>
      </c>
      <c r="N74" s="226"/>
      <c r="O74" s="176">
        <v>0</v>
      </c>
      <c r="P74" s="176">
        <v>0</v>
      </c>
      <c r="Q74" s="176">
        <v>20970.3</v>
      </c>
      <c r="R74" s="176">
        <v>1560</v>
      </c>
      <c r="S74" s="176">
        <v>596.63157894736844</v>
      </c>
      <c r="T74" s="176">
        <v>0</v>
      </c>
      <c r="U74" s="176">
        <f t="shared" si="44"/>
        <v>23126.931578947369</v>
      </c>
      <c r="V74" s="176">
        <f t="shared" si="45"/>
        <v>18501.545263157896</v>
      </c>
      <c r="W74" s="226"/>
      <c r="X74" s="247"/>
      <c r="Y74" s="176">
        <v>0</v>
      </c>
      <c r="Z74" s="176">
        <v>20912.21052631579</v>
      </c>
      <c r="AA74" s="176">
        <v>966.31578947368416</v>
      </c>
      <c r="AB74" s="176">
        <v>369.573407202216</v>
      </c>
      <c r="AC74" s="176">
        <v>0</v>
      </c>
      <c r="AD74" s="176">
        <f t="shared" si="46"/>
        <v>22248.09972299169</v>
      </c>
      <c r="AE74" s="247">
        <f t="shared" si="47"/>
        <v>17798.479778393354</v>
      </c>
      <c r="AF74" s="226"/>
      <c r="AG74" s="247">
        <v>1086.1500000000001</v>
      </c>
      <c r="AH74" s="247">
        <v>657.15</v>
      </c>
      <c r="AI74" s="247">
        <v>785.55789473684206</v>
      </c>
      <c r="AJ74" s="226"/>
      <c r="AK74" s="247">
        <f t="shared" si="48"/>
        <v>868.92000000000007</v>
      </c>
      <c r="AL74" s="247">
        <f t="shared" si="49"/>
        <v>525.72</v>
      </c>
      <c r="AM74" s="247">
        <f t="shared" si="50"/>
        <v>628.44631578947372</v>
      </c>
      <c r="AN74" s="225"/>
      <c r="AO74" s="225">
        <v>0</v>
      </c>
      <c r="AP74" s="225">
        <v>0</v>
      </c>
      <c r="AQ74" s="225">
        <v>24281.4</v>
      </c>
      <c r="AR74" s="225">
        <v>1950</v>
      </c>
      <c r="AS74" s="225">
        <v>745.78947368421052</v>
      </c>
      <c r="AT74" s="225">
        <v>0</v>
      </c>
      <c r="AU74" s="225">
        <v>1014</v>
      </c>
      <c r="AV74" s="225">
        <f t="shared" si="51"/>
        <v>27991.189473684211</v>
      </c>
      <c r="AX74" s="225">
        <f t="shared" si="52"/>
        <v>0</v>
      </c>
      <c r="AY74" s="225">
        <f t="shared" si="53"/>
        <v>0</v>
      </c>
      <c r="AZ74" s="225">
        <f t="shared" si="54"/>
        <v>-2207.3999999999978</v>
      </c>
      <c r="BA74" s="225">
        <f t="shared" si="55"/>
        <v>1950</v>
      </c>
      <c r="BB74" s="225">
        <f t="shared" si="56"/>
        <v>745.78947368421052</v>
      </c>
      <c r="BC74" s="225">
        <f t="shared" si="57"/>
        <v>0</v>
      </c>
      <c r="BD74" s="225">
        <f t="shared" si="58"/>
        <v>-72.150000000000091</v>
      </c>
      <c r="BE74" s="225">
        <f t="shared" si="59"/>
        <v>416.23947368421261</v>
      </c>
      <c r="BF74" s="225">
        <f t="shared" si="60"/>
        <v>0</v>
      </c>
      <c r="BG74" s="225">
        <f t="shared" si="33"/>
        <v>0</v>
      </c>
      <c r="BH74" s="225">
        <f t="shared" si="34"/>
        <v>0</v>
      </c>
      <c r="BI74" s="225">
        <f t="shared" si="35"/>
        <v>3090.3600000000006</v>
      </c>
      <c r="BJ74" s="225">
        <f t="shared" si="36"/>
        <v>1950</v>
      </c>
      <c r="BK74" s="225">
        <f t="shared" si="37"/>
        <v>745.78947368421052</v>
      </c>
      <c r="BL74" s="225">
        <f t="shared" si="38"/>
        <v>0</v>
      </c>
      <c r="BM74" s="225">
        <f t="shared" si="39"/>
        <v>145.07999999999993</v>
      </c>
      <c r="BN74" s="225">
        <f t="shared" si="61"/>
        <v>5931.2294736842114</v>
      </c>
      <c r="BO74" s="225">
        <f t="shared" si="40"/>
        <v>0</v>
      </c>
      <c r="BP74" s="225"/>
      <c r="BQ74" s="225"/>
      <c r="BR74" s="225"/>
      <c r="BS74" s="225"/>
      <c r="BT74" s="225"/>
      <c r="BU74" s="225"/>
      <c r="BV74" s="225"/>
      <c r="BW74" s="225"/>
      <c r="BY74" s="176"/>
      <c r="BZ74" s="176"/>
      <c r="CA74" s="176"/>
      <c r="CB74" s="176"/>
      <c r="CC74" s="176"/>
      <c r="CD74" s="176"/>
      <c r="CE74" s="176"/>
      <c r="CF74" s="176"/>
      <c r="CH74" s="248"/>
      <c r="CI74" s="248"/>
      <c r="CJ74" s="248"/>
      <c r="CK74" s="248"/>
      <c r="CL74" s="248"/>
      <c r="CM74" s="248"/>
      <c r="CN74" s="248"/>
      <c r="CO74" s="248"/>
      <c r="CQ74" s="248"/>
      <c r="CR74" s="248"/>
      <c r="CS74" s="248"/>
      <c r="CT74" s="248"/>
      <c r="CU74" s="248"/>
      <c r="CV74" s="248"/>
      <c r="CW74" s="248"/>
      <c r="CX74" s="248"/>
      <c r="CY74" s="248"/>
      <c r="DA74" s="248"/>
      <c r="DB74" s="248"/>
      <c r="DC74" s="248"/>
      <c r="DD74" s="248"/>
      <c r="DE74" s="248"/>
      <c r="DF74" s="248"/>
      <c r="DG74" s="248"/>
      <c r="DH74" s="248"/>
      <c r="DJ74" s="179" t="e">
        <f>#REF!+((SUMIFS($F74:$AM74,$F$3:$AM$3,$DJ$7)*80%))+SUMIFS(#REF!,#REF!,$DJ$7)</f>
        <v>#REF!</v>
      </c>
      <c r="DK74" s="179">
        <f t="shared" si="41"/>
        <v>0</v>
      </c>
      <c r="DL74" s="173" t="e">
        <f t="shared" si="62"/>
        <v>#REF!</v>
      </c>
    </row>
    <row r="75" spans="1:116">
      <c r="A75" s="168">
        <v>5412</v>
      </c>
      <c r="B75" s="2">
        <v>138695</v>
      </c>
      <c r="C75" s="2" t="s">
        <v>277</v>
      </c>
      <c r="D75" s="30"/>
      <c r="E75" s="226"/>
      <c r="F75" s="176">
        <v>0</v>
      </c>
      <c r="G75" s="176">
        <v>0</v>
      </c>
      <c r="H75" s="176">
        <v>0</v>
      </c>
      <c r="I75" s="176">
        <v>0</v>
      </c>
      <c r="J75" s="176">
        <v>0</v>
      </c>
      <c r="K75" s="176">
        <v>0</v>
      </c>
      <c r="L75" s="30">
        <f t="shared" si="42"/>
        <v>0</v>
      </c>
      <c r="M75" s="176">
        <f t="shared" si="43"/>
        <v>0</v>
      </c>
      <c r="N75" s="226"/>
      <c r="O75" s="176">
        <v>0</v>
      </c>
      <c r="P75" s="176">
        <v>0</v>
      </c>
      <c r="Q75" s="176">
        <v>0</v>
      </c>
      <c r="R75" s="176">
        <v>0</v>
      </c>
      <c r="S75" s="176">
        <v>0</v>
      </c>
      <c r="T75" s="176">
        <v>0</v>
      </c>
      <c r="U75" s="176">
        <f t="shared" si="44"/>
        <v>0</v>
      </c>
      <c r="V75" s="176">
        <f t="shared" si="45"/>
        <v>0</v>
      </c>
      <c r="W75" s="226"/>
      <c r="X75" s="247"/>
      <c r="Y75" s="176">
        <v>0</v>
      </c>
      <c r="Z75" s="176">
        <v>0</v>
      </c>
      <c r="AA75" s="176">
        <v>0</v>
      </c>
      <c r="AB75" s="176">
        <v>0</v>
      </c>
      <c r="AC75" s="176">
        <v>0</v>
      </c>
      <c r="AD75" s="176">
        <f t="shared" si="46"/>
        <v>0</v>
      </c>
      <c r="AE75" s="247">
        <f t="shared" si="47"/>
        <v>0</v>
      </c>
      <c r="AF75" s="226"/>
      <c r="AG75" s="247">
        <v>0</v>
      </c>
      <c r="AH75" s="247">
        <v>0</v>
      </c>
      <c r="AI75" s="247">
        <v>0</v>
      </c>
      <c r="AJ75" s="226"/>
      <c r="AK75" s="247">
        <f t="shared" si="48"/>
        <v>0</v>
      </c>
      <c r="AL75" s="247">
        <f t="shared" si="49"/>
        <v>0</v>
      </c>
      <c r="AM75" s="247">
        <f t="shared" si="50"/>
        <v>0</v>
      </c>
      <c r="AN75" s="225"/>
      <c r="AO75" s="225">
        <v>0</v>
      </c>
      <c r="AP75" s="225">
        <v>0</v>
      </c>
      <c r="AQ75" s="225">
        <v>0</v>
      </c>
      <c r="AR75" s="225">
        <v>0</v>
      </c>
      <c r="AS75" s="225">
        <v>0</v>
      </c>
      <c r="AT75" s="225">
        <v>0</v>
      </c>
      <c r="AU75" s="225">
        <v>0</v>
      </c>
      <c r="AV75" s="225">
        <f t="shared" si="51"/>
        <v>0</v>
      </c>
      <c r="AX75" s="225">
        <f t="shared" si="52"/>
        <v>0</v>
      </c>
      <c r="AY75" s="225">
        <f t="shared" si="53"/>
        <v>0</v>
      </c>
      <c r="AZ75" s="225">
        <f t="shared" si="54"/>
        <v>0</v>
      </c>
      <c r="BA75" s="225">
        <f t="shared" si="55"/>
        <v>0</v>
      </c>
      <c r="BB75" s="225">
        <f t="shared" si="56"/>
        <v>0</v>
      </c>
      <c r="BC75" s="225">
        <f t="shared" si="57"/>
        <v>0</v>
      </c>
      <c r="BD75" s="225">
        <f t="shared" si="58"/>
        <v>0</v>
      </c>
      <c r="BE75" s="225">
        <f t="shared" si="59"/>
        <v>0</v>
      </c>
      <c r="BF75" s="225">
        <f t="shared" si="60"/>
        <v>0</v>
      </c>
      <c r="BG75" s="225">
        <f t="shared" si="33"/>
        <v>0</v>
      </c>
      <c r="BH75" s="225">
        <f t="shared" si="34"/>
        <v>0</v>
      </c>
      <c r="BI75" s="225">
        <f t="shared" si="35"/>
        <v>0</v>
      </c>
      <c r="BJ75" s="225">
        <f t="shared" si="36"/>
        <v>0</v>
      </c>
      <c r="BK75" s="225">
        <f t="shared" si="37"/>
        <v>0</v>
      </c>
      <c r="BL75" s="225">
        <f t="shared" si="38"/>
        <v>0</v>
      </c>
      <c r="BM75" s="225">
        <f t="shared" si="39"/>
        <v>0</v>
      </c>
      <c r="BN75" s="225">
        <f t="shared" si="61"/>
        <v>0</v>
      </c>
      <c r="BO75" s="225">
        <f t="shared" si="40"/>
        <v>0</v>
      </c>
      <c r="BP75" s="225"/>
      <c r="BQ75" s="225"/>
      <c r="BR75" s="225"/>
      <c r="BS75" s="225"/>
      <c r="BT75" s="225"/>
      <c r="BU75" s="225"/>
      <c r="BV75" s="225"/>
      <c r="BW75" s="225"/>
      <c r="BY75" s="176"/>
      <c r="BZ75" s="176"/>
      <c r="CA75" s="176"/>
      <c r="CB75" s="176"/>
      <c r="CC75" s="176"/>
      <c r="CD75" s="176"/>
      <c r="CE75" s="176"/>
      <c r="CF75" s="176"/>
      <c r="CH75" s="248"/>
      <c r="CI75" s="248"/>
      <c r="CJ75" s="248"/>
      <c r="CK75" s="248"/>
      <c r="CL75" s="248"/>
      <c r="CM75" s="248"/>
      <c r="CN75" s="248"/>
      <c r="CO75" s="248"/>
      <c r="CQ75" s="248"/>
      <c r="CR75" s="248"/>
      <c r="CS75" s="248"/>
      <c r="CT75" s="248"/>
      <c r="CU75" s="248"/>
      <c r="CV75" s="248"/>
      <c r="CW75" s="248"/>
      <c r="CX75" s="248"/>
      <c r="CY75" s="248"/>
      <c r="DA75" s="248"/>
      <c r="DB75" s="248"/>
      <c r="DC75" s="248"/>
      <c r="DD75" s="248"/>
      <c r="DE75" s="248"/>
      <c r="DF75" s="248"/>
      <c r="DG75" s="248"/>
      <c r="DH75" s="248"/>
      <c r="DJ75" s="179" t="e">
        <f>#REF!+((SUMIFS($F75:$AM75,$F$3:$AM$3,$DJ$7)*80%))+SUMIFS(#REF!,#REF!,$DJ$7)</f>
        <v>#REF!</v>
      </c>
      <c r="DK75" s="179">
        <f t="shared" si="41"/>
        <v>0</v>
      </c>
      <c r="DL75" s="173" t="e">
        <f t="shared" si="62"/>
        <v>#REF!</v>
      </c>
    </row>
    <row r="76" spans="1:116">
      <c r="A76" s="168">
        <v>2448</v>
      </c>
      <c r="B76" s="2">
        <v>142794</v>
      </c>
      <c r="C76" s="2" t="s">
        <v>278</v>
      </c>
      <c r="D76" s="30"/>
      <c r="E76" s="226"/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  <c r="L76" s="30">
        <f t="shared" si="42"/>
        <v>0</v>
      </c>
      <c r="M76" s="176">
        <f t="shared" si="43"/>
        <v>0</v>
      </c>
      <c r="N76" s="226"/>
      <c r="O76" s="176">
        <v>0</v>
      </c>
      <c r="P76" s="176">
        <v>0</v>
      </c>
      <c r="Q76" s="176">
        <v>0</v>
      </c>
      <c r="R76" s="176">
        <v>0</v>
      </c>
      <c r="S76" s="176">
        <v>0</v>
      </c>
      <c r="T76" s="176">
        <v>0</v>
      </c>
      <c r="U76" s="176">
        <f t="shared" si="44"/>
        <v>0</v>
      </c>
      <c r="V76" s="176">
        <f t="shared" si="45"/>
        <v>0</v>
      </c>
      <c r="W76" s="226"/>
      <c r="X76" s="247"/>
      <c r="Y76" s="176">
        <v>0</v>
      </c>
      <c r="Z76" s="176">
        <v>0</v>
      </c>
      <c r="AA76" s="176">
        <v>0</v>
      </c>
      <c r="AB76" s="176">
        <v>0</v>
      </c>
      <c r="AC76" s="176">
        <v>0</v>
      </c>
      <c r="AD76" s="176">
        <f t="shared" si="46"/>
        <v>0</v>
      </c>
      <c r="AE76" s="247">
        <f t="shared" si="47"/>
        <v>0</v>
      </c>
      <c r="AF76" s="226"/>
      <c r="AG76" s="247">
        <v>0</v>
      </c>
      <c r="AH76" s="247">
        <v>0</v>
      </c>
      <c r="AI76" s="247">
        <v>0</v>
      </c>
      <c r="AJ76" s="226"/>
      <c r="AK76" s="247">
        <f t="shared" si="48"/>
        <v>0</v>
      </c>
      <c r="AL76" s="247">
        <f t="shared" si="49"/>
        <v>0</v>
      </c>
      <c r="AM76" s="247">
        <f t="shared" si="50"/>
        <v>0</v>
      </c>
      <c r="AN76" s="225"/>
      <c r="AO76" s="225">
        <v>0</v>
      </c>
      <c r="AP76" s="225">
        <v>0</v>
      </c>
      <c r="AQ76" s="225">
        <v>0</v>
      </c>
      <c r="AR76" s="225">
        <v>0</v>
      </c>
      <c r="AS76" s="225">
        <v>0</v>
      </c>
      <c r="AT76" s="225">
        <v>0</v>
      </c>
      <c r="AU76" s="225">
        <v>0</v>
      </c>
      <c r="AV76" s="225">
        <f t="shared" si="51"/>
        <v>0</v>
      </c>
      <c r="AX76" s="225">
        <f t="shared" si="52"/>
        <v>0</v>
      </c>
      <c r="AY76" s="225">
        <f t="shared" si="53"/>
        <v>0</v>
      </c>
      <c r="AZ76" s="225">
        <f t="shared" si="54"/>
        <v>0</v>
      </c>
      <c r="BA76" s="225">
        <f t="shared" si="55"/>
        <v>0</v>
      </c>
      <c r="BB76" s="225">
        <f t="shared" si="56"/>
        <v>0</v>
      </c>
      <c r="BC76" s="225">
        <f t="shared" si="57"/>
        <v>0</v>
      </c>
      <c r="BD76" s="225">
        <f t="shared" si="58"/>
        <v>0</v>
      </c>
      <c r="BE76" s="225">
        <f t="shared" si="59"/>
        <v>0</v>
      </c>
      <c r="BF76" s="225">
        <f t="shared" si="60"/>
        <v>0</v>
      </c>
      <c r="BG76" s="225">
        <f t="shared" si="33"/>
        <v>0</v>
      </c>
      <c r="BH76" s="225">
        <f t="shared" si="34"/>
        <v>0</v>
      </c>
      <c r="BI76" s="225">
        <f t="shared" si="35"/>
        <v>0</v>
      </c>
      <c r="BJ76" s="225">
        <f t="shared" si="36"/>
        <v>0</v>
      </c>
      <c r="BK76" s="225">
        <f t="shared" si="37"/>
        <v>0</v>
      </c>
      <c r="BL76" s="225">
        <f t="shared" si="38"/>
        <v>0</v>
      </c>
      <c r="BM76" s="225">
        <f t="shared" si="39"/>
        <v>0</v>
      </c>
      <c r="BN76" s="225">
        <f t="shared" si="61"/>
        <v>0</v>
      </c>
      <c r="BO76" s="225">
        <f t="shared" si="40"/>
        <v>0</v>
      </c>
      <c r="BP76" s="225"/>
      <c r="BQ76" s="225"/>
      <c r="BR76" s="225"/>
      <c r="BS76" s="225"/>
      <c r="BT76" s="225"/>
      <c r="BU76" s="225"/>
      <c r="BV76" s="225"/>
      <c r="BW76" s="225"/>
      <c r="BY76" s="176"/>
      <c r="BZ76" s="176"/>
      <c r="CA76" s="176"/>
      <c r="CB76" s="176"/>
      <c r="CC76" s="176"/>
      <c r="CD76" s="176"/>
      <c r="CE76" s="176"/>
      <c r="CF76" s="176"/>
      <c r="CH76" s="248"/>
      <c r="CI76" s="248"/>
      <c r="CJ76" s="248"/>
      <c r="CK76" s="248"/>
      <c r="CL76" s="248"/>
      <c r="CM76" s="248"/>
      <c r="CN76" s="248"/>
      <c r="CO76" s="248"/>
      <c r="CQ76" s="248"/>
      <c r="CR76" s="248"/>
      <c r="CS76" s="248"/>
      <c r="CT76" s="248"/>
      <c r="CU76" s="248"/>
      <c r="CV76" s="248"/>
      <c r="CW76" s="248"/>
      <c r="CX76" s="248"/>
      <c r="CY76" s="248"/>
      <c r="DA76" s="248"/>
      <c r="DB76" s="248"/>
      <c r="DC76" s="248"/>
      <c r="DD76" s="248"/>
      <c r="DE76" s="248"/>
      <c r="DF76" s="248"/>
      <c r="DG76" s="248"/>
      <c r="DH76" s="248"/>
      <c r="DJ76" s="179" t="e">
        <f>#REF!+((SUMIFS($F76:$AM76,$F$3:$AM$3,$DJ$7)*80%))+SUMIFS(#REF!,#REF!,$DJ$7)</f>
        <v>#REF!</v>
      </c>
      <c r="DK76" s="179">
        <f t="shared" si="41"/>
        <v>0</v>
      </c>
      <c r="DL76" s="173" t="e">
        <f t="shared" si="62"/>
        <v>#REF!</v>
      </c>
    </row>
    <row r="77" spans="1:116">
      <c r="A77" s="168">
        <v>2451</v>
      </c>
      <c r="B77" s="2">
        <v>141610</v>
      </c>
      <c r="C77" s="2" t="s">
        <v>279</v>
      </c>
      <c r="D77" s="30"/>
      <c r="E77" s="226"/>
      <c r="F77" s="176">
        <v>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30">
        <f t="shared" si="42"/>
        <v>0</v>
      </c>
      <c r="M77" s="176">
        <f t="shared" si="43"/>
        <v>0</v>
      </c>
      <c r="N77" s="226"/>
      <c r="O77" s="176">
        <v>0</v>
      </c>
      <c r="P77" s="176">
        <v>0</v>
      </c>
      <c r="Q77" s="176">
        <v>0</v>
      </c>
      <c r="R77" s="176">
        <v>0</v>
      </c>
      <c r="S77" s="176">
        <v>0</v>
      </c>
      <c r="T77" s="176">
        <v>0</v>
      </c>
      <c r="U77" s="176">
        <f t="shared" si="44"/>
        <v>0</v>
      </c>
      <c r="V77" s="176">
        <f t="shared" si="45"/>
        <v>0</v>
      </c>
      <c r="W77" s="226"/>
      <c r="X77" s="247"/>
      <c r="Y77" s="176">
        <v>0</v>
      </c>
      <c r="Z77" s="176">
        <v>0</v>
      </c>
      <c r="AA77" s="176">
        <v>0</v>
      </c>
      <c r="AB77" s="176">
        <v>0</v>
      </c>
      <c r="AC77" s="176">
        <v>0</v>
      </c>
      <c r="AD77" s="176">
        <f t="shared" si="46"/>
        <v>0</v>
      </c>
      <c r="AE77" s="247">
        <f t="shared" si="47"/>
        <v>0</v>
      </c>
      <c r="AF77" s="226"/>
      <c r="AG77" s="247">
        <v>0</v>
      </c>
      <c r="AH77" s="247">
        <v>0</v>
      </c>
      <c r="AI77" s="247">
        <v>0</v>
      </c>
      <c r="AJ77" s="226"/>
      <c r="AK77" s="247">
        <f t="shared" si="48"/>
        <v>0</v>
      </c>
      <c r="AL77" s="247">
        <f t="shared" si="49"/>
        <v>0</v>
      </c>
      <c r="AM77" s="247">
        <f t="shared" si="50"/>
        <v>0</v>
      </c>
      <c r="AN77" s="225"/>
      <c r="AO77" s="225">
        <v>0</v>
      </c>
      <c r="AP77" s="225">
        <v>0</v>
      </c>
      <c r="AQ77" s="225">
        <v>0</v>
      </c>
      <c r="AR77" s="225">
        <v>0</v>
      </c>
      <c r="AS77" s="225">
        <v>0</v>
      </c>
      <c r="AT77" s="225">
        <v>0</v>
      </c>
      <c r="AU77" s="225">
        <v>0</v>
      </c>
      <c r="AV77" s="225">
        <f t="shared" si="51"/>
        <v>0</v>
      </c>
      <c r="AX77" s="225">
        <f t="shared" si="52"/>
        <v>0</v>
      </c>
      <c r="AY77" s="225">
        <f t="shared" si="53"/>
        <v>0</v>
      </c>
      <c r="AZ77" s="225">
        <f t="shared" si="54"/>
        <v>0</v>
      </c>
      <c r="BA77" s="225">
        <f t="shared" si="55"/>
        <v>0</v>
      </c>
      <c r="BB77" s="225">
        <f t="shared" si="56"/>
        <v>0</v>
      </c>
      <c r="BC77" s="225">
        <f t="shared" si="57"/>
        <v>0</v>
      </c>
      <c r="BD77" s="225">
        <f t="shared" si="58"/>
        <v>0</v>
      </c>
      <c r="BE77" s="225">
        <f t="shared" si="59"/>
        <v>0</v>
      </c>
      <c r="BF77" s="225">
        <f t="shared" si="60"/>
        <v>0</v>
      </c>
      <c r="BG77" s="225">
        <f t="shared" si="33"/>
        <v>0</v>
      </c>
      <c r="BH77" s="225">
        <f t="shared" si="34"/>
        <v>0</v>
      </c>
      <c r="BI77" s="225">
        <f t="shared" si="35"/>
        <v>0</v>
      </c>
      <c r="BJ77" s="225">
        <f t="shared" si="36"/>
        <v>0</v>
      </c>
      <c r="BK77" s="225">
        <f t="shared" si="37"/>
        <v>0</v>
      </c>
      <c r="BL77" s="225">
        <f t="shared" si="38"/>
        <v>0</v>
      </c>
      <c r="BM77" s="225">
        <f t="shared" si="39"/>
        <v>0</v>
      </c>
      <c r="BN77" s="225">
        <f t="shared" si="61"/>
        <v>0</v>
      </c>
      <c r="BO77" s="225">
        <f t="shared" si="40"/>
        <v>0</v>
      </c>
      <c r="BP77" s="225"/>
      <c r="BQ77" s="225"/>
      <c r="BR77" s="225"/>
      <c r="BS77" s="225"/>
      <c r="BT77" s="225"/>
      <c r="BU77" s="225"/>
      <c r="BV77" s="225"/>
      <c r="BW77" s="225"/>
      <c r="BY77" s="176"/>
      <c r="BZ77" s="176"/>
      <c r="CA77" s="176"/>
      <c r="CB77" s="176"/>
      <c r="CC77" s="176"/>
      <c r="CD77" s="176"/>
      <c r="CE77" s="176"/>
      <c r="CF77" s="176"/>
      <c r="CH77" s="248"/>
      <c r="CI77" s="248"/>
      <c r="CJ77" s="248"/>
      <c r="CK77" s="248"/>
      <c r="CL77" s="248"/>
      <c r="CM77" s="248"/>
      <c r="CN77" s="248"/>
      <c r="CO77" s="248"/>
      <c r="CQ77" s="248"/>
      <c r="CR77" s="248"/>
      <c r="CS77" s="248"/>
      <c r="CT77" s="248"/>
      <c r="CU77" s="248"/>
      <c r="CV77" s="248"/>
      <c r="CW77" s="248"/>
      <c r="CX77" s="248"/>
      <c r="CY77" s="248"/>
      <c r="DA77" s="248"/>
      <c r="DB77" s="248"/>
      <c r="DC77" s="248"/>
      <c r="DD77" s="248"/>
      <c r="DE77" s="248"/>
      <c r="DF77" s="248"/>
      <c r="DG77" s="248"/>
      <c r="DH77" s="248"/>
      <c r="DJ77" s="179" t="e">
        <f>#REF!+((SUMIFS($F77:$AM77,$F$3:$AM$3,$DJ$7)*80%))+SUMIFS(#REF!,#REF!,$DJ$7)</f>
        <v>#REF!</v>
      </c>
      <c r="DK77" s="179">
        <f t="shared" si="41"/>
        <v>0</v>
      </c>
      <c r="DL77" s="173" t="e">
        <f t="shared" si="62"/>
        <v>#REF!</v>
      </c>
    </row>
    <row r="78" spans="1:116">
      <c r="A78" s="168">
        <v>2085</v>
      </c>
      <c r="B78" s="2">
        <v>138693</v>
      </c>
      <c r="C78" s="2" t="s">
        <v>280</v>
      </c>
      <c r="D78" s="30"/>
      <c r="E78" s="226"/>
      <c r="F78" s="176">
        <v>0</v>
      </c>
      <c r="G78" s="176">
        <v>0</v>
      </c>
      <c r="H78" s="176">
        <v>0</v>
      </c>
      <c r="I78" s="176">
        <v>0</v>
      </c>
      <c r="J78" s="176">
        <v>0</v>
      </c>
      <c r="K78" s="176">
        <v>0</v>
      </c>
      <c r="L78" s="30">
        <f t="shared" si="42"/>
        <v>0</v>
      </c>
      <c r="M78" s="176">
        <f t="shared" si="43"/>
        <v>0</v>
      </c>
      <c r="N78" s="226"/>
      <c r="O78" s="176">
        <v>0</v>
      </c>
      <c r="P78" s="176">
        <v>0</v>
      </c>
      <c r="Q78" s="176">
        <v>0</v>
      </c>
      <c r="R78" s="176">
        <v>0</v>
      </c>
      <c r="S78" s="176">
        <v>0</v>
      </c>
      <c r="T78" s="176">
        <v>0</v>
      </c>
      <c r="U78" s="176">
        <f t="shared" si="44"/>
        <v>0</v>
      </c>
      <c r="V78" s="176">
        <f t="shared" si="45"/>
        <v>0</v>
      </c>
      <c r="W78" s="226"/>
      <c r="X78" s="247"/>
      <c r="Y78" s="176">
        <v>0</v>
      </c>
      <c r="Z78" s="176">
        <v>0</v>
      </c>
      <c r="AA78" s="176">
        <v>0</v>
      </c>
      <c r="AB78" s="176">
        <v>0</v>
      </c>
      <c r="AC78" s="176">
        <v>0</v>
      </c>
      <c r="AD78" s="176">
        <f t="shared" si="46"/>
        <v>0</v>
      </c>
      <c r="AE78" s="247">
        <f t="shared" si="47"/>
        <v>0</v>
      </c>
      <c r="AF78" s="226"/>
      <c r="AG78" s="247">
        <v>0</v>
      </c>
      <c r="AH78" s="247">
        <v>0</v>
      </c>
      <c r="AI78" s="247">
        <v>0</v>
      </c>
      <c r="AJ78" s="226"/>
      <c r="AK78" s="247">
        <f t="shared" si="48"/>
        <v>0</v>
      </c>
      <c r="AL78" s="247">
        <f t="shared" si="49"/>
        <v>0</v>
      </c>
      <c r="AM78" s="247">
        <f t="shared" si="50"/>
        <v>0</v>
      </c>
      <c r="AN78" s="225"/>
      <c r="AO78" s="225">
        <v>0</v>
      </c>
      <c r="AP78" s="225">
        <v>0</v>
      </c>
      <c r="AQ78" s="225">
        <v>0</v>
      </c>
      <c r="AR78" s="225">
        <v>0</v>
      </c>
      <c r="AS78" s="225">
        <v>0</v>
      </c>
      <c r="AT78" s="225">
        <v>0</v>
      </c>
      <c r="AU78" s="225">
        <v>0</v>
      </c>
      <c r="AV78" s="225">
        <f t="shared" si="51"/>
        <v>0</v>
      </c>
      <c r="AX78" s="225">
        <f t="shared" si="52"/>
        <v>0</v>
      </c>
      <c r="AY78" s="225">
        <f t="shared" si="53"/>
        <v>0</v>
      </c>
      <c r="AZ78" s="225">
        <f t="shared" si="54"/>
        <v>0</v>
      </c>
      <c r="BA78" s="225">
        <f t="shared" si="55"/>
        <v>0</v>
      </c>
      <c r="BB78" s="225">
        <f t="shared" si="56"/>
        <v>0</v>
      </c>
      <c r="BC78" s="225">
        <f t="shared" si="57"/>
        <v>0</v>
      </c>
      <c r="BD78" s="225">
        <f t="shared" si="58"/>
        <v>0</v>
      </c>
      <c r="BE78" s="225">
        <f t="shared" si="59"/>
        <v>0</v>
      </c>
      <c r="BF78" s="225">
        <f t="shared" si="60"/>
        <v>0</v>
      </c>
      <c r="BG78" s="225">
        <f t="shared" si="33"/>
        <v>0</v>
      </c>
      <c r="BH78" s="225">
        <f t="shared" si="34"/>
        <v>0</v>
      </c>
      <c r="BI78" s="225">
        <f t="shared" si="35"/>
        <v>0</v>
      </c>
      <c r="BJ78" s="225">
        <f t="shared" si="36"/>
        <v>0</v>
      </c>
      <c r="BK78" s="225">
        <f t="shared" si="37"/>
        <v>0</v>
      </c>
      <c r="BL78" s="225">
        <f t="shared" si="38"/>
        <v>0</v>
      </c>
      <c r="BM78" s="225">
        <f t="shared" si="39"/>
        <v>0</v>
      </c>
      <c r="BN78" s="225">
        <f t="shared" si="61"/>
        <v>0</v>
      </c>
      <c r="BO78" s="225">
        <f t="shared" si="40"/>
        <v>0</v>
      </c>
      <c r="BP78" s="225"/>
      <c r="BQ78" s="225"/>
      <c r="BR78" s="225"/>
      <c r="BS78" s="225"/>
      <c r="BT78" s="225"/>
      <c r="BU78" s="225"/>
      <c r="BV78" s="225"/>
      <c r="BW78" s="225"/>
      <c r="BY78" s="176"/>
      <c r="BZ78" s="176"/>
      <c r="CA78" s="176"/>
      <c r="CB78" s="176"/>
      <c r="CC78" s="176"/>
      <c r="CD78" s="176"/>
      <c r="CE78" s="176"/>
      <c r="CF78" s="176"/>
      <c r="CH78" s="248"/>
      <c r="CI78" s="248"/>
      <c r="CJ78" s="248"/>
      <c r="CK78" s="248"/>
      <c r="CL78" s="248"/>
      <c r="CM78" s="248"/>
      <c r="CN78" s="248"/>
      <c r="CO78" s="248"/>
      <c r="CQ78" s="248"/>
      <c r="CR78" s="248"/>
      <c r="CS78" s="248"/>
      <c r="CT78" s="248"/>
      <c r="CU78" s="248"/>
      <c r="CV78" s="248"/>
      <c r="CW78" s="248"/>
      <c r="CX78" s="248"/>
      <c r="CY78" s="248"/>
      <c r="DA78" s="248"/>
      <c r="DB78" s="248"/>
      <c r="DC78" s="248"/>
      <c r="DD78" s="248"/>
      <c r="DE78" s="248"/>
      <c r="DF78" s="248"/>
      <c r="DG78" s="248"/>
      <c r="DH78" s="248"/>
      <c r="DJ78" s="179" t="e">
        <f>#REF!+((SUMIFS($F78:$AM78,$F$3:$AM$3,$DJ$7)*80%))+SUMIFS(#REF!,#REF!,$DJ$7)</f>
        <v>#REF!</v>
      </c>
      <c r="DK78" s="179">
        <f t="shared" si="41"/>
        <v>0</v>
      </c>
      <c r="DL78" s="173" t="e">
        <f t="shared" si="62"/>
        <v>#REF!</v>
      </c>
    </row>
    <row r="79" spans="1:116">
      <c r="A79" s="168">
        <v>4006</v>
      </c>
      <c r="B79" s="2">
        <v>139048</v>
      </c>
      <c r="C79" s="2" t="s">
        <v>281</v>
      </c>
      <c r="D79" s="30"/>
      <c r="E79" s="226"/>
      <c r="F79" s="176">
        <v>0</v>
      </c>
      <c r="G79" s="176">
        <v>0</v>
      </c>
      <c r="H79" s="176">
        <v>0</v>
      </c>
      <c r="I79" s="176">
        <v>0</v>
      </c>
      <c r="J79" s="176">
        <v>0</v>
      </c>
      <c r="K79" s="176">
        <v>0</v>
      </c>
      <c r="L79" s="30">
        <f t="shared" si="42"/>
        <v>0</v>
      </c>
      <c r="M79" s="176">
        <f t="shared" si="43"/>
        <v>0</v>
      </c>
      <c r="N79" s="226"/>
      <c r="O79" s="176">
        <v>0</v>
      </c>
      <c r="P79" s="176">
        <v>0</v>
      </c>
      <c r="Q79" s="176">
        <v>0</v>
      </c>
      <c r="R79" s="176">
        <v>0</v>
      </c>
      <c r="S79" s="176">
        <v>0</v>
      </c>
      <c r="T79" s="176">
        <v>0</v>
      </c>
      <c r="U79" s="176">
        <f t="shared" si="44"/>
        <v>0</v>
      </c>
      <c r="V79" s="176">
        <f t="shared" si="45"/>
        <v>0</v>
      </c>
      <c r="W79" s="226"/>
      <c r="X79" s="247"/>
      <c r="Y79" s="176">
        <v>0</v>
      </c>
      <c r="Z79" s="176">
        <v>0</v>
      </c>
      <c r="AA79" s="176">
        <v>0</v>
      </c>
      <c r="AB79" s="176">
        <v>0</v>
      </c>
      <c r="AC79" s="176">
        <v>0</v>
      </c>
      <c r="AD79" s="176">
        <f t="shared" si="46"/>
        <v>0</v>
      </c>
      <c r="AE79" s="247">
        <f t="shared" si="47"/>
        <v>0</v>
      </c>
      <c r="AF79" s="226"/>
      <c r="AG79" s="247">
        <v>0</v>
      </c>
      <c r="AH79" s="247">
        <v>0</v>
      </c>
      <c r="AI79" s="247">
        <v>0</v>
      </c>
      <c r="AJ79" s="226"/>
      <c r="AK79" s="247">
        <f t="shared" si="48"/>
        <v>0</v>
      </c>
      <c r="AL79" s="247">
        <f t="shared" si="49"/>
        <v>0</v>
      </c>
      <c r="AM79" s="247">
        <f t="shared" si="50"/>
        <v>0</v>
      </c>
      <c r="AN79" s="225"/>
      <c r="AO79" s="225">
        <v>0</v>
      </c>
      <c r="AP79" s="225">
        <v>0</v>
      </c>
      <c r="AQ79" s="225">
        <v>0</v>
      </c>
      <c r="AR79" s="225">
        <v>0</v>
      </c>
      <c r="AS79" s="225">
        <v>0</v>
      </c>
      <c r="AT79" s="225">
        <v>0</v>
      </c>
      <c r="AU79" s="225">
        <v>0</v>
      </c>
      <c r="AV79" s="225">
        <f t="shared" si="51"/>
        <v>0</v>
      </c>
      <c r="AX79" s="225">
        <f t="shared" si="52"/>
        <v>0</v>
      </c>
      <c r="AY79" s="225">
        <f t="shared" si="53"/>
        <v>0</v>
      </c>
      <c r="AZ79" s="225">
        <f t="shared" si="54"/>
        <v>0</v>
      </c>
      <c r="BA79" s="225">
        <f t="shared" si="55"/>
        <v>0</v>
      </c>
      <c r="BB79" s="225">
        <f t="shared" si="56"/>
        <v>0</v>
      </c>
      <c r="BC79" s="225">
        <f t="shared" si="57"/>
        <v>0</v>
      </c>
      <c r="BD79" s="225">
        <f t="shared" si="58"/>
        <v>0</v>
      </c>
      <c r="BE79" s="225">
        <f t="shared" si="59"/>
        <v>0</v>
      </c>
      <c r="BF79" s="225">
        <f t="shared" si="60"/>
        <v>0</v>
      </c>
      <c r="BG79" s="225">
        <f t="shared" si="33"/>
        <v>0</v>
      </c>
      <c r="BH79" s="225">
        <f t="shared" si="34"/>
        <v>0</v>
      </c>
      <c r="BI79" s="225">
        <f t="shared" si="35"/>
        <v>0</v>
      </c>
      <c r="BJ79" s="225">
        <f t="shared" si="36"/>
        <v>0</v>
      </c>
      <c r="BK79" s="225">
        <f t="shared" si="37"/>
        <v>0</v>
      </c>
      <c r="BL79" s="225">
        <f t="shared" si="38"/>
        <v>0</v>
      </c>
      <c r="BM79" s="225">
        <f t="shared" si="39"/>
        <v>0</v>
      </c>
      <c r="BN79" s="225">
        <f t="shared" si="61"/>
        <v>0</v>
      </c>
      <c r="BO79" s="225">
        <f t="shared" si="40"/>
        <v>0</v>
      </c>
      <c r="BP79" s="225"/>
      <c r="BQ79" s="225"/>
      <c r="BR79" s="225"/>
      <c r="BS79" s="225"/>
      <c r="BT79" s="225"/>
      <c r="BU79" s="225"/>
      <c r="BV79" s="225"/>
      <c r="BW79" s="225"/>
      <c r="BY79" s="176"/>
      <c r="BZ79" s="176"/>
      <c r="CA79" s="176"/>
      <c r="CB79" s="176"/>
      <c r="CC79" s="176"/>
      <c r="CD79" s="176"/>
      <c r="CE79" s="176"/>
      <c r="CF79" s="176"/>
      <c r="CH79" s="248"/>
      <c r="CI79" s="248"/>
      <c r="CJ79" s="248"/>
      <c r="CK79" s="248"/>
      <c r="CL79" s="248"/>
      <c r="CM79" s="248"/>
      <c r="CN79" s="248"/>
      <c r="CO79" s="248"/>
      <c r="CQ79" s="248"/>
      <c r="CR79" s="248"/>
      <c r="CS79" s="248"/>
      <c r="CT79" s="248"/>
      <c r="CU79" s="248"/>
      <c r="CV79" s="248"/>
      <c r="CW79" s="248"/>
      <c r="CX79" s="248"/>
      <c r="CY79" s="248"/>
      <c r="DA79" s="248"/>
      <c r="DB79" s="248"/>
      <c r="DC79" s="248"/>
      <c r="DD79" s="248"/>
      <c r="DE79" s="248"/>
      <c r="DF79" s="248"/>
      <c r="DG79" s="248"/>
      <c r="DH79" s="248"/>
      <c r="DJ79" s="179" t="e">
        <f>#REF!+((SUMIFS($F79:$AM79,$F$3:$AM$3,$DJ$7)*80%))+SUMIFS(#REF!,#REF!,$DJ$7)</f>
        <v>#REF!</v>
      </c>
      <c r="DK79" s="179">
        <f t="shared" si="41"/>
        <v>0</v>
      </c>
      <c r="DL79" s="173" t="e">
        <f t="shared" si="62"/>
        <v>#REF!</v>
      </c>
    </row>
    <row r="80" spans="1:116">
      <c r="A80" s="168">
        <v>2086</v>
      </c>
      <c r="B80" s="2">
        <v>143090</v>
      </c>
      <c r="C80" s="2" t="s">
        <v>282</v>
      </c>
      <c r="D80" s="30"/>
      <c r="E80" s="226"/>
      <c r="F80" s="176">
        <v>0</v>
      </c>
      <c r="G80" s="176">
        <v>0</v>
      </c>
      <c r="H80" s="176">
        <v>44148</v>
      </c>
      <c r="I80" s="176">
        <v>975</v>
      </c>
      <c r="J80" s="176">
        <v>0</v>
      </c>
      <c r="K80" s="176">
        <v>0</v>
      </c>
      <c r="L80" s="30">
        <f t="shared" si="42"/>
        <v>45123</v>
      </c>
      <c r="M80" s="176">
        <f t="shared" si="43"/>
        <v>36098.400000000001</v>
      </c>
      <c r="N80" s="226"/>
      <c r="O80" s="176">
        <v>0</v>
      </c>
      <c r="P80" s="176">
        <v>0</v>
      </c>
      <c r="Q80" s="176">
        <v>27592.5</v>
      </c>
      <c r="R80" s="176">
        <v>1365</v>
      </c>
      <c r="S80" s="176">
        <v>447.47368421052636</v>
      </c>
      <c r="T80" s="176">
        <v>0</v>
      </c>
      <c r="U80" s="176">
        <f t="shared" si="44"/>
        <v>29404.973684210527</v>
      </c>
      <c r="V80" s="176">
        <f t="shared" si="45"/>
        <v>23523.978947368421</v>
      </c>
      <c r="W80" s="226"/>
      <c r="X80" s="247"/>
      <c r="Y80" s="176">
        <v>0</v>
      </c>
      <c r="Z80" s="176">
        <v>33137.810526315785</v>
      </c>
      <c r="AA80" s="176">
        <v>795.78947368421041</v>
      </c>
      <c r="AB80" s="176">
        <v>173.91689750692518</v>
      </c>
      <c r="AC80" s="176">
        <v>0</v>
      </c>
      <c r="AD80" s="176">
        <f t="shared" si="46"/>
        <v>34107.516897506925</v>
      </c>
      <c r="AE80" s="247">
        <f t="shared" si="47"/>
        <v>27286.01351800554</v>
      </c>
      <c r="AF80" s="226"/>
      <c r="AG80" s="247">
        <v>879.45</v>
      </c>
      <c r="AH80" s="247">
        <v>604.5</v>
      </c>
      <c r="AI80" s="247">
        <v>679.83157894736837</v>
      </c>
      <c r="AJ80" s="226"/>
      <c r="AK80" s="247">
        <f t="shared" si="48"/>
        <v>703.56000000000006</v>
      </c>
      <c r="AL80" s="247">
        <f t="shared" si="49"/>
        <v>483.6</v>
      </c>
      <c r="AM80" s="247">
        <f t="shared" si="50"/>
        <v>543.86526315789467</v>
      </c>
      <c r="AN80" s="225"/>
      <c r="AO80" s="225">
        <v>0</v>
      </c>
      <c r="AP80" s="225">
        <v>0</v>
      </c>
      <c r="AQ80" s="225">
        <v>28696.2</v>
      </c>
      <c r="AR80" s="225">
        <v>2145</v>
      </c>
      <c r="AS80" s="225">
        <v>820.36842105263156</v>
      </c>
      <c r="AT80" s="225">
        <v>0</v>
      </c>
      <c r="AU80" s="225">
        <v>780</v>
      </c>
      <c r="AV80" s="225">
        <f t="shared" si="51"/>
        <v>32441.568421052631</v>
      </c>
      <c r="AX80" s="225">
        <f t="shared" si="52"/>
        <v>0</v>
      </c>
      <c r="AY80" s="225">
        <f t="shared" si="53"/>
        <v>0</v>
      </c>
      <c r="AZ80" s="225">
        <f t="shared" si="54"/>
        <v>-15451.8</v>
      </c>
      <c r="BA80" s="225">
        <f t="shared" si="55"/>
        <v>1170</v>
      </c>
      <c r="BB80" s="225">
        <f t="shared" si="56"/>
        <v>820.36842105263156</v>
      </c>
      <c r="BC80" s="225">
        <f t="shared" si="57"/>
        <v>0</v>
      </c>
      <c r="BD80" s="225">
        <f t="shared" si="58"/>
        <v>-99.450000000000045</v>
      </c>
      <c r="BE80" s="225">
        <f t="shared" si="59"/>
        <v>-13560.881578947368</v>
      </c>
      <c r="BF80" s="225">
        <f t="shared" si="60"/>
        <v>0</v>
      </c>
      <c r="BG80" s="225">
        <f t="shared" si="33"/>
        <v>0</v>
      </c>
      <c r="BH80" s="225">
        <f t="shared" si="34"/>
        <v>0</v>
      </c>
      <c r="BI80" s="225">
        <f t="shared" si="35"/>
        <v>-6622.2000000000007</v>
      </c>
      <c r="BJ80" s="225">
        <f t="shared" si="36"/>
        <v>1365</v>
      </c>
      <c r="BK80" s="225">
        <f t="shared" si="37"/>
        <v>820.36842105263156</v>
      </c>
      <c r="BL80" s="225">
        <f t="shared" si="38"/>
        <v>0</v>
      </c>
      <c r="BM80" s="225">
        <f t="shared" si="39"/>
        <v>76.439999999999941</v>
      </c>
      <c r="BN80" s="225">
        <f t="shared" si="61"/>
        <v>-4360.3915789473695</v>
      </c>
      <c r="BO80" s="225">
        <f t="shared" si="40"/>
        <v>0</v>
      </c>
      <c r="BP80" s="225"/>
      <c r="BQ80" s="225"/>
      <c r="BR80" s="225"/>
      <c r="BS80" s="225"/>
      <c r="BT80" s="225"/>
      <c r="BU80" s="225"/>
      <c r="BV80" s="225"/>
      <c r="BW80" s="225"/>
      <c r="BY80" s="176"/>
      <c r="BZ80" s="176"/>
      <c r="CA80" s="176"/>
      <c r="CB80" s="176"/>
      <c r="CC80" s="176"/>
      <c r="CD80" s="176"/>
      <c r="CE80" s="176"/>
      <c r="CF80" s="176"/>
      <c r="CH80" s="248"/>
      <c r="CI80" s="248"/>
      <c r="CJ80" s="248"/>
      <c r="CK80" s="248"/>
      <c r="CL80" s="248"/>
      <c r="CM80" s="248"/>
      <c r="CN80" s="248"/>
      <c r="CO80" s="248"/>
      <c r="CQ80" s="248"/>
      <c r="CR80" s="248"/>
      <c r="CS80" s="248"/>
      <c r="CT80" s="248"/>
      <c r="CU80" s="248"/>
      <c r="CV80" s="248"/>
      <c r="CW80" s="248"/>
      <c r="CX80" s="248"/>
      <c r="CY80" s="248"/>
      <c r="DA80" s="248"/>
      <c r="DB80" s="248"/>
      <c r="DC80" s="248"/>
      <c r="DD80" s="248"/>
      <c r="DE80" s="248"/>
      <c r="DF80" s="248"/>
      <c r="DG80" s="248"/>
      <c r="DH80" s="248"/>
      <c r="DJ80" s="179" t="e">
        <f>#REF!+((SUMIFS($F80:$AM80,$F$3:$AM$3,$DJ$7)*80%))+SUMIFS(#REF!,#REF!,$DJ$7)</f>
        <v>#REF!</v>
      </c>
      <c r="DK80" s="179">
        <f t="shared" si="41"/>
        <v>0</v>
      </c>
      <c r="DL80" s="173" t="e">
        <f t="shared" si="62"/>
        <v>#REF!</v>
      </c>
    </row>
    <row r="81" spans="1:116">
      <c r="A81" s="168">
        <v>2138</v>
      </c>
      <c r="B81" s="2">
        <v>139904</v>
      </c>
      <c r="C81" s="2" t="s">
        <v>283</v>
      </c>
      <c r="D81" s="30"/>
      <c r="E81" s="226"/>
      <c r="F81" s="176">
        <v>0</v>
      </c>
      <c r="G81" s="176">
        <v>0</v>
      </c>
      <c r="H81" s="176">
        <v>52977.599999999999</v>
      </c>
      <c r="I81" s="176">
        <v>1560</v>
      </c>
      <c r="J81" s="176">
        <v>596.63157894736844</v>
      </c>
      <c r="K81" s="176">
        <v>0</v>
      </c>
      <c r="L81" s="30">
        <f t="shared" si="42"/>
        <v>55134.231578947365</v>
      </c>
      <c r="M81" s="176">
        <f t="shared" si="43"/>
        <v>44107.385263157892</v>
      </c>
      <c r="N81" s="226"/>
      <c r="O81" s="176">
        <v>0</v>
      </c>
      <c r="P81" s="176">
        <v>0</v>
      </c>
      <c r="Q81" s="176">
        <v>33111</v>
      </c>
      <c r="R81" s="176">
        <v>780</v>
      </c>
      <c r="S81" s="176">
        <v>149.15789473684211</v>
      </c>
      <c r="T81" s="176">
        <v>0</v>
      </c>
      <c r="U81" s="176">
        <f t="shared" si="44"/>
        <v>34040.15789473684</v>
      </c>
      <c r="V81" s="176">
        <f t="shared" si="45"/>
        <v>27232.126315789472</v>
      </c>
      <c r="W81" s="226"/>
      <c r="X81" s="247"/>
      <c r="Y81" s="176">
        <v>0</v>
      </c>
      <c r="Z81" s="176">
        <v>39572.336842105258</v>
      </c>
      <c r="AA81" s="176">
        <v>1193.6842105263158</v>
      </c>
      <c r="AB81" s="176">
        <v>326.09418282548472</v>
      </c>
      <c r="AC81" s="176">
        <v>0</v>
      </c>
      <c r="AD81" s="176">
        <f t="shared" si="46"/>
        <v>41092.115235457059</v>
      </c>
      <c r="AE81" s="247">
        <f t="shared" si="47"/>
        <v>32873.692188365647</v>
      </c>
      <c r="AF81" s="226"/>
      <c r="AG81" s="247">
        <v>319.8</v>
      </c>
      <c r="AH81" s="247">
        <v>31.2</v>
      </c>
      <c r="AI81" s="247">
        <v>195.53684210526313</v>
      </c>
      <c r="AJ81" s="226"/>
      <c r="AK81" s="247">
        <f t="shared" si="48"/>
        <v>255.84000000000003</v>
      </c>
      <c r="AL81" s="247">
        <f t="shared" si="49"/>
        <v>24.96</v>
      </c>
      <c r="AM81" s="247">
        <f t="shared" si="50"/>
        <v>156.42947368421051</v>
      </c>
      <c r="AN81" s="225"/>
      <c r="AO81" s="225">
        <v>0</v>
      </c>
      <c r="AP81" s="225">
        <v>0</v>
      </c>
      <c r="AQ81" s="225">
        <v>51873.9</v>
      </c>
      <c r="AR81" s="225">
        <v>1755</v>
      </c>
      <c r="AS81" s="225">
        <v>671.21052631578948</v>
      </c>
      <c r="AT81" s="225">
        <v>0</v>
      </c>
      <c r="AU81" s="225">
        <v>109.2</v>
      </c>
      <c r="AV81" s="225">
        <f t="shared" si="51"/>
        <v>54409.310526315785</v>
      </c>
      <c r="AX81" s="225">
        <f t="shared" si="52"/>
        <v>0</v>
      </c>
      <c r="AY81" s="225">
        <f t="shared" si="53"/>
        <v>0</v>
      </c>
      <c r="AZ81" s="225">
        <f t="shared" si="54"/>
        <v>-1103.6999999999971</v>
      </c>
      <c r="BA81" s="225">
        <f t="shared" si="55"/>
        <v>195</v>
      </c>
      <c r="BB81" s="225">
        <f t="shared" si="56"/>
        <v>74.578947368421041</v>
      </c>
      <c r="BC81" s="225">
        <f t="shared" si="57"/>
        <v>0</v>
      </c>
      <c r="BD81" s="225">
        <f t="shared" si="58"/>
        <v>-210.60000000000002</v>
      </c>
      <c r="BE81" s="225">
        <f t="shared" si="59"/>
        <v>-1044.7210526315762</v>
      </c>
      <c r="BF81" s="225">
        <f t="shared" si="60"/>
        <v>0</v>
      </c>
      <c r="BG81" s="225">
        <f t="shared" si="33"/>
        <v>0</v>
      </c>
      <c r="BH81" s="225">
        <f t="shared" si="34"/>
        <v>0</v>
      </c>
      <c r="BI81" s="225">
        <f t="shared" si="35"/>
        <v>9491.82</v>
      </c>
      <c r="BJ81" s="225">
        <f t="shared" si="36"/>
        <v>507</v>
      </c>
      <c r="BK81" s="225">
        <f t="shared" si="37"/>
        <v>193.90526315789469</v>
      </c>
      <c r="BL81" s="225">
        <f t="shared" si="38"/>
        <v>0</v>
      </c>
      <c r="BM81" s="225">
        <f t="shared" si="39"/>
        <v>-146.64000000000004</v>
      </c>
      <c r="BN81" s="225">
        <f t="shared" si="61"/>
        <v>10046.085263157895</v>
      </c>
      <c r="BO81" s="225">
        <f t="shared" si="40"/>
        <v>0</v>
      </c>
      <c r="BP81" s="225"/>
      <c r="BQ81" s="225"/>
      <c r="BR81" s="225"/>
      <c r="BS81" s="225"/>
      <c r="BT81" s="225"/>
      <c r="BU81" s="225"/>
      <c r="BV81" s="225"/>
      <c r="BW81" s="225"/>
      <c r="BY81" s="176"/>
      <c r="BZ81" s="176"/>
      <c r="CA81" s="176"/>
      <c r="CB81" s="176"/>
      <c r="CC81" s="176"/>
      <c r="CD81" s="176"/>
      <c r="CE81" s="176"/>
      <c r="CF81" s="176"/>
      <c r="CH81" s="248"/>
      <c r="CI81" s="248"/>
      <c r="CJ81" s="248"/>
      <c r="CK81" s="248"/>
      <c r="CL81" s="248"/>
      <c r="CM81" s="248"/>
      <c r="CN81" s="248"/>
      <c r="CO81" s="248"/>
      <c r="CQ81" s="248"/>
      <c r="CR81" s="248"/>
      <c r="CS81" s="248"/>
      <c r="CT81" s="248"/>
      <c r="CU81" s="248"/>
      <c r="CV81" s="248"/>
      <c r="CW81" s="248"/>
      <c r="CX81" s="248"/>
      <c r="CY81" s="248"/>
      <c r="DA81" s="248"/>
      <c r="DB81" s="248"/>
      <c r="DC81" s="248"/>
      <c r="DD81" s="248"/>
      <c r="DE81" s="248"/>
      <c r="DF81" s="248"/>
      <c r="DG81" s="248"/>
      <c r="DH81" s="248"/>
      <c r="DJ81" s="179" t="e">
        <f>#REF!+((SUMIFS($F81:$AM81,$F$3:$AM$3,$DJ$7)*80%))+SUMIFS(#REF!,#REF!,$DJ$7)</f>
        <v>#REF!</v>
      </c>
      <c r="DK81" s="179">
        <f t="shared" si="41"/>
        <v>0</v>
      </c>
      <c r="DL81" s="173" t="e">
        <f t="shared" si="62"/>
        <v>#REF!</v>
      </c>
    </row>
    <row r="82" spans="1:116">
      <c r="A82" s="168">
        <v>3316</v>
      </c>
      <c r="B82" s="2">
        <v>148081</v>
      </c>
      <c r="C82" s="2" t="s">
        <v>284</v>
      </c>
      <c r="D82" s="30"/>
      <c r="E82" s="226"/>
      <c r="F82" s="176">
        <v>0</v>
      </c>
      <c r="G82" s="176">
        <v>0</v>
      </c>
      <c r="H82" s="176">
        <v>0</v>
      </c>
      <c r="I82" s="176">
        <v>0</v>
      </c>
      <c r="J82" s="176">
        <v>0</v>
      </c>
      <c r="K82" s="176">
        <v>0</v>
      </c>
      <c r="L82" s="30">
        <f t="shared" si="42"/>
        <v>0</v>
      </c>
      <c r="M82" s="176">
        <f t="shared" si="43"/>
        <v>0</v>
      </c>
      <c r="N82" s="226"/>
      <c r="O82" s="176">
        <v>0</v>
      </c>
      <c r="P82" s="176">
        <v>0</v>
      </c>
      <c r="Q82" s="176">
        <v>0</v>
      </c>
      <c r="R82" s="176">
        <v>0</v>
      </c>
      <c r="S82" s="176">
        <v>0</v>
      </c>
      <c r="T82" s="176">
        <v>0</v>
      </c>
      <c r="U82" s="176">
        <f t="shared" si="44"/>
        <v>0</v>
      </c>
      <c r="V82" s="176">
        <f t="shared" si="45"/>
        <v>0</v>
      </c>
      <c r="W82" s="226"/>
      <c r="X82" s="247"/>
      <c r="Y82" s="176">
        <v>0</v>
      </c>
      <c r="Z82" s="176">
        <v>0</v>
      </c>
      <c r="AA82" s="176">
        <v>0</v>
      </c>
      <c r="AB82" s="176">
        <v>0</v>
      </c>
      <c r="AC82" s="176">
        <v>0</v>
      </c>
      <c r="AD82" s="176">
        <f t="shared" si="46"/>
        <v>0</v>
      </c>
      <c r="AE82" s="247">
        <f t="shared" si="47"/>
        <v>0</v>
      </c>
      <c r="AF82" s="226"/>
      <c r="AG82" s="247">
        <v>0</v>
      </c>
      <c r="AH82" s="247">
        <v>0</v>
      </c>
      <c r="AI82" s="247">
        <v>0</v>
      </c>
      <c r="AJ82" s="226"/>
      <c r="AK82" s="247">
        <f t="shared" si="48"/>
        <v>0</v>
      </c>
      <c r="AL82" s="247">
        <f t="shared" si="49"/>
        <v>0</v>
      </c>
      <c r="AM82" s="247">
        <f t="shared" si="50"/>
        <v>0</v>
      </c>
      <c r="AN82" s="225"/>
      <c r="AO82" s="225">
        <v>0</v>
      </c>
      <c r="AP82" s="225">
        <v>0</v>
      </c>
      <c r="AQ82" s="225">
        <v>0</v>
      </c>
      <c r="AR82" s="225">
        <v>0</v>
      </c>
      <c r="AS82" s="225">
        <v>0</v>
      </c>
      <c r="AT82" s="225">
        <v>0</v>
      </c>
      <c r="AU82" s="225">
        <v>0</v>
      </c>
      <c r="AV82" s="225">
        <f t="shared" si="51"/>
        <v>0</v>
      </c>
      <c r="AX82" s="225">
        <f t="shared" si="52"/>
        <v>0</v>
      </c>
      <c r="AY82" s="225">
        <f t="shared" si="53"/>
        <v>0</v>
      </c>
      <c r="AZ82" s="225">
        <f t="shared" si="54"/>
        <v>0</v>
      </c>
      <c r="BA82" s="225">
        <f t="shared" si="55"/>
        <v>0</v>
      </c>
      <c r="BB82" s="225">
        <f t="shared" si="56"/>
        <v>0</v>
      </c>
      <c r="BC82" s="225">
        <f t="shared" si="57"/>
        <v>0</v>
      </c>
      <c r="BD82" s="225">
        <f t="shared" si="58"/>
        <v>0</v>
      </c>
      <c r="BE82" s="225">
        <f t="shared" si="59"/>
        <v>0</v>
      </c>
      <c r="BF82" s="225">
        <f t="shared" si="60"/>
        <v>0</v>
      </c>
      <c r="BG82" s="225">
        <f t="shared" si="33"/>
        <v>0</v>
      </c>
      <c r="BH82" s="225">
        <f t="shared" si="34"/>
        <v>0</v>
      </c>
      <c r="BI82" s="225">
        <f t="shared" si="35"/>
        <v>0</v>
      </c>
      <c r="BJ82" s="225">
        <f t="shared" si="36"/>
        <v>0</v>
      </c>
      <c r="BK82" s="225">
        <f t="shared" si="37"/>
        <v>0</v>
      </c>
      <c r="BL82" s="225">
        <f t="shared" si="38"/>
        <v>0</v>
      </c>
      <c r="BM82" s="225">
        <f t="shared" si="39"/>
        <v>0</v>
      </c>
      <c r="BN82" s="225">
        <f t="shared" si="61"/>
        <v>0</v>
      </c>
      <c r="BO82" s="225">
        <f t="shared" si="40"/>
        <v>0</v>
      </c>
      <c r="BP82" s="225"/>
      <c r="BQ82" s="225"/>
      <c r="BR82" s="225"/>
      <c r="BS82" s="225"/>
      <c r="BT82" s="225"/>
      <c r="BU82" s="225"/>
      <c r="BV82" s="225"/>
      <c r="BW82" s="225"/>
      <c r="BY82" s="176"/>
      <c r="BZ82" s="176"/>
      <c r="CA82" s="176"/>
      <c r="CB82" s="176"/>
      <c r="CC82" s="176"/>
      <c r="CD82" s="176"/>
      <c r="CE82" s="176"/>
      <c r="CF82" s="176"/>
      <c r="CH82" s="248"/>
      <c r="CI82" s="248"/>
      <c r="CJ82" s="248"/>
      <c r="CK82" s="248"/>
      <c r="CL82" s="248"/>
      <c r="CM82" s="248"/>
      <c r="CN82" s="248"/>
      <c r="CO82" s="248"/>
      <c r="CQ82" s="248"/>
      <c r="CR82" s="248"/>
      <c r="CS82" s="248"/>
      <c r="CT82" s="248"/>
      <c r="CU82" s="248"/>
      <c r="CV82" s="248"/>
      <c r="CW82" s="248"/>
      <c r="CX82" s="248"/>
      <c r="CY82" s="248"/>
      <c r="DA82" s="248"/>
      <c r="DB82" s="248"/>
      <c r="DC82" s="248"/>
      <c r="DD82" s="248"/>
      <c r="DE82" s="248"/>
      <c r="DF82" s="248"/>
      <c r="DG82" s="248"/>
      <c r="DH82" s="248"/>
      <c r="DJ82" s="179" t="e">
        <f>#REF!+((SUMIFS($F82:$AM82,$F$3:$AM$3,$DJ$7)*80%))+SUMIFS(#REF!,#REF!,$DJ$7)</f>
        <v>#REF!</v>
      </c>
      <c r="DK82" s="179">
        <f t="shared" si="41"/>
        <v>0</v>
      </c>
      <c r="DL82" s="173" t="e">
        <f t="shared" si="62"/>
        <v>#REF!</v>
      </c>
    </row>
    <row r="83" spans="1:116">
      <c r="A83" s="168">
        <v>5409</v>
      </c>
      <c r="B83" s="2">
        <v>137858</v>
      </c>
      <c r="C83" s="2" t="s">
        <v>285</v>
      </c>
      <c r="D83" s="30"/>
      <c r="E83" s="226"/>
      <c r="F83" s="176">
        <v>0</v>
      </c>
      <c r="G83" s="176">
        <v>0</v>
      </c>
      <c r="H83" s="176">
        <v>0</v>
      </c>
      <c r="I83" s="176">
        <v>0</v>
      </c>
      <c r="J83" s="176">
        <v>0</v>
      </c>
      <c r="K83" s="176">
        <v>0</v>
      </c>
      <c r="L83" s="30">
        <f t="shared" si="42"/>
        <v>0</v>
      </c>
      <c r="M83" s="176">
        <f t="shared" si="43"/>
        <v>0</v>
      </c>
      <c r="N83" s="226"/>
      <c r="O83" s="176">
        <v>0</v>
      </c>
      <c r="P83" s="176">
        <v>0</v>
      </c>
      <c r="Q83" s="176">
        <v>0</v>
      </c>
      <c r="R83" s="176">
        <v>0</v>
      </c>
      <c r="S83" s="176">
        <v>0</v>
      </c>
      <c r="T83" s="176">
        <v>0</v>
      </c>
      <c r="U83" s="176">
        <f t="shared" si="44"/>
        <v>0</v>
      </c>
      <c r="V83" s="176">
        <f t="shared" si="45"/>
        <v>0</v>
      </c>
      <c r="W83" s="226"/>
      <c r="X83" s="247"/>
      <c r="Y83" s="176">
        <v>0</v>
      </c>
      <c r="Z83" s="176">
        <v>0</v>
      </c>
      <c r="AA83" s="176">
        <v>0</v>
      </c>
      <c r="AB83" s="176">
        <v>0</v>
      </c>
      <c r="AC83" s="176">
        <v>0</v>
      </c>
      <c r="AD83" s="176">
        <f t="shared" si="46"/>
        <v>0</v>
      </c>
      <c r="AE83" s="247">
        <f t="shared" si="47"/>
        <v>0</v>
      </c>
      <c r="AF83" s="226"/>
      <c r="AG83" s="247">
        <v>0</v>
      </c>
      <c r="AH83" s="247">
        <v>0</v>
      </c>
      <c r="AI83" s="247">
        <v>0</v>
      </c>
      <c r="AJ83" s="226"/>
      <c r="AK83" s="247">
        <f t="shared" si="48"/>
        <v>0</v>
      </c>
      <c r="AL83" s="247">
        <f t="shared" si="49"/>
        <v>0</v>
      </c>
      <c r="AM83" s="247">
        <f t="shared" si="50"/>
        <v>0</v>
      </c>
      <c r="AN83" s="225"/>
      <c r="AO83" s="225">
        <v>0</v>
      </c>
      <c r="AP83" s="225">
        <v>0</v>
      </c>
      <c r="AQ83" s="225">
        <v>0</v>
      </c>
      <c r="AR83" s="225">
        <v>0</v>
      </c>
      <c r="AS83" s="225">
        <v>0</v>
      </c>
      <c r="AT83" s="225">
        <v>0</v>
      </c>
      <c r="AU83" s="225">
        <v>0</v>
      </c>
      <c r="AV83" s="225">
        <f t="shared" si="51"/>
        <v>0</v>
      </c>
      <c r="AX83" s="225">
        <f t="shared" si="52"/>
        <v>0</v>
      </c>
      <c r="AY83" s="225">
        <f t="shared" si="53"/>
        <v>0</v>
      </c>
      <c r="AZ83" s="225">
        <f t="shared" si="54"/>
        <v>0</v>
      </c>
      <c r="BA83" s="225">
        <f t="shared" si="55"/>
        <v>0</v>
      </c>
      <c r="BB83" s="225">
        <f t="shared" si="56"/>
        <v>0</v>
      </c>
      <c r="BC83" s="225">
        <f t="shared" si="57"/>
        <v>0</v>
      </c>
      <c r="BD83" s="225">
        <f t="shared" si="58"/>
        <v>0</v>
      </c>
      <c r="BE83" s="225">
        <f t="shared" si="59"/>
        <v>0</v>
      </c>
      <c r="BF83" s="225">
        <f t="shared" si="60"/>
        <v>0</v>
      </c>
      <c r="BG83" s="225">
        <f t="shared" si="33"/>
        <v>0</v>
      </c>
      <c r="BH83" s="225">
        <f t="shared" si="34"/>
        <v>0</v>
      </c>
      <c r="BI83" s="225">
        <f t="shared" si="35"/>
        <v>0</v>
      </c>
      <c r="BJ83" s="225">
        <f t="shared" si="36"/>
        <v>0</v>
      </c>
      <c r="BK83" s="225">
        <f t="shared" si="37"/>
        <v>0</v>
      </c>
      <c r="BL83" s="225">
        <f t="shared" si="38"/>
        <v>0</v>
      </c>
      <c r="BM83" s="225">
        <f t="shared" si="39"/>
        <v>0</v>
      </c>
      <c r="BN83" s="225">
        <f t="shared" si="61"/>
        <v>0</v>
      </c>
      <c r="BO83" s="225">
        <f t="shared" si="40"/>
        <v>0</v>
      </c>
      <c r="BP83" s="225"/>
      <c r="BQ83" s="225"/>
      <c r="BR83" s="225"/>
      <c r="BS83" s="225"/>
      <c r="BT83" s="225"/>
      <c r="BU83" s="225"/>
      <c r="BV83" s="225"/>
      <c r="BW83" s="225"/>
      <c r="BY83" s="176"/>
      <c r="BZ83" s="176"/>
      <c r="CA83" s="176"/>
      <c r="CB83" s="176"/>
      <c r="CC83" s="176"/>
      <c r="CD83" s="176"/>
      <c r="CE83" s="176"/>
      <c r="CF83" s="176"/>
      <c r="CH83" s="248"/>
      <c r="CI83" s="248"/>
      <c r="CJ83" s="248"/>
      <c r="CK83" s="248"/>
      <c r="CL83" s="248"/>
      <c r="CM83" s="248"/>
      <c r="CN83" s="248"/>
      <c r="CO83" s="248"/>
      <c r="CQ83" s="248"/>
      <c r="CR83" s="248"/>
      <c r="CS83" s="248"/>
      <c r="CT83" s="248"/>
      <c r="CU83" s="248"/>
      <c r="CV83" s="248"/>
      <c r="CW83" s="248"/>
      <c r="CX83" s="248"/>
      <c r="CY83" s="248"/>
      <c r="DA83" s="248"/>
      <c r="DB83" s="248"/>
      <c r="DC83" s="248"/>
      <c r="DD83" s="248"/>
      <c r="DE83" s="248"/>
      <c r="DF83" s="248"/>
      <c r="DG83" s="248"/>
      <c r="DH83" s="248"/>
      <c r="DJ83" s="179" t="e">
        <f>#REF!+((SUMIFS($F83:$AM83,$F$3:$AM$3,$DJ$7)*80%))+SUMIFS(#REF!,#REF!,$DJ$7)</f>
        <v>#REF!</v>
      </c>
      <c r="DK83" s="179">
        <f t="shared" si="41"/>
        <v>0</v>
      </c>
      <c r="DL83" s="173" t="e">
        <f t="shared" si="62"/>
        <v>#REF!</v>
      </c>
    </row>
    <row r="84" spans="1:116">
      <c r="A84" s="168">
        <v>7000</v>
      </c>
      <c r="B84" s="2">
        <v>144336</v>
      </c>
      <c r="C84" s="2" t="s">
        <v>286</v>
      </c>
      <c r="D84" s="30"/>
      <c r="E84" s="226"/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30">
        <f t="shared" si="42"/>
        <v>0</v>
      </c>
      <c r="M84" s="176">
        <f t="shared" si="43"/>
        <v>0</v>
      </c>
      <c r="N84" s="226"/>
      <c r="O84" s="176">
        <v>0</v>
      </c>
      <c r="P84" s="176">
        <v>0</v>
      </c>
      <c r="Q84" s="176">
        <v>0</v>
      </c>
      <c r="R84" s="176">
        <v>0</v>
      </c>
      <c r="S84" s="176">
        <v>0</v>
      </c>
      <c r="T84" s="176">
        <v>0</v>
      </c>
      <c r="U84" s="176">
        <f t="shared" si="44"/>
        <v>0</v>
      </c>
      <c r="V84" s="176">
        <f t="shared" si="45"/>
        <v>0</v>
      </c>
      <c r="W84" s="226"/>
      <c r="X84" s="247"/>
      <c r="Y84" s="176">
        <v>0</v>
      </c>
      <c r="Z84" s="176">
        <v>0</v>
      </c>
      <c r="AA84" s="176">
        <v>0</v>
      </c>
      <c r="AB84" s="176">
        <v>0</v>
      </c>
      <c r="AC84" s="176">
        <v>0</v>
      </c>
      <c r="AD84" s="176">
        <f t="shared" si="46"/>
        <v>0</v>
      </c>
      <c r="AE84" s="247">
        <f t="shared" si="47"/>
        <v>0</v>
      </c>
      <c r="AF84" s="226"/>
      <c r="AG84" s="247">
        <v>0</v>
      </c>
      <c r="AH84" s="247">
        <v>0</v>
      </c>
      <c r="AI84" s="247">
        <v>0</v>
      </c>
      <c r="AJ84" s="226"/>
      <c r="AK84" s="247">
        <f t="shared" si="48"/>
        <v>0</v>
      </c>
      <c r="AL84" s="247">
        <f t="shared" si="49"/>
        <v>0</v>
      </c>
      <c r="AM84" s="247">
        <f t="shared" si="50"/>
        <v>0</v>
      </c>
      <c r="AN84" s="225"/>
      <c r="AO84" s="225">
        <v>0</v>
      </c>
      <c r="AP84" s="225">
        <v>0</v>
      </c>
      <c r="AQ84" s="225">
        <v>0</v>
      </c>
      <c r="AR84" s="225">
        <v>0</v>
      </c>
      <c r="AS84" s="225">
        <v>0</v>
      </c>
      <c r="AT84" s="225">
        <v>0</v>
      </c>
      <c r="AU84" s="225">
        <v>0</v>
      </c>
      <c r="AV84" s="225">
        <f t="shared" si="51"/>
        <v>0</v>
      </c>
      <c r="AX84" s="225">
        <f t="shared" si="52"/>
        <v>0</v>
      </c>
      <c r="AY84" s="225">
        <f t="shared" si="53"/>
        <v>0</v>
      </c>
      <c r="AZ84" s="225">
        <f t="shared" si="54"/>
        <v>0</v>
      </c>
      <c r="BA84" s="225">
        <f t="shared" si="55"/>
        <v>0</v>
      </c>
      <c r="BB84" s="225">
        <f t="shared" si="56"/>
        <v>0</v>
      </c>
      <c r="BC84" s="225">
        <f t="shared" si="57"/>
        <v>0</v>
      </c>
      <c r="BD84" s="225">
        <f t="shared" si="58"/>
        <v>0</v>
      </c>
      <c r="BE84" s="225">
        <f t="shared" si="59"/>
        <v>0</v>
      </c>
      <c r="BF84" s="225">
        <f t="shared" si="60"/>
        <v>0</v>
      </c>
      <c r="BG84" s="225">
        <f t="shared" si="33"/>
        <v>0</v>
      </c>
      <c r="BH84" s="225">
        <f t="shared" si="34"/>
        <v>0</v>
      </c>
      <c r="BI84" s="225">
        <f t="shared" si="35"/>
        <v>0</v>
      </c>
      <c r="BJ84" s="225">
        <f t="shared" si="36"/>
        <v>0</v>
      </c>
      <c r="BK84" s="225">
        <f t="shared" si="37"/>
        <v>0</v>
      </c>
      <c r="BL84" s="225">
        <f t="shared" si="38"/>
        <v>0</v>
      </c>
      <c r="BM84" s="225">
        <f t="shared" si="39"/>
        <v>0</v>
      </c>
      <c r="BN84" s="225">
        <f t="shared" si="61"/>
        <v>0</v>
      </c>
      <c r="BO84" s="225">
        <f t="shared" si="40"/>
        <v>0</v>
      </c>
      <c r="BP84" s="225"/>
      <c r="BQ84" s="225"/>
      <c r="BR84" s="225"/>
      <c r="BS84" s="225"/>
      <c r="BT84" s="225"/>
      <c r="BU84" s="225"/>
      <c r="BV84" s="225"/>
      <c r="BW84" s="225"/>
      <c r="BY84" s="176"/>
      <c r="BZ84" s="176"/>
      <c r="CA84" s="176"/>
      <c r="CB84" s="176"/>
      <c r="CC84" s="176"/>
      <c r="CD84" s="176"/>
      <c r="CE84" s="176"/>
      <c r="CF84" s="176"/>
      <c r="CH84" s="248"/>
      <c r="CI84" s="248"/>
      <c r="CJ84" s="248"/>
      <c r="CK84" s="248"/>
      <c r="CL84" s="248"/>
      <c r="CM84" s="248"/>
      <c r="CN84" s="248"/>
      <c r="CO84" s="248"/>
      <c r="CQ84" s="248"/>
      <c r="CR84" s="248"/>
      <c r="CS84" s="248"/>
      <c r="CT84" s="248"/>
      <c r="CU84" s="248"/>
      <c r="CV84" s="248"/>
      <c r="CW84" s="248"/>
      <c r="CX84" s="248"/>
      <c r="CY84" s="248"/>
      <c r="DA84" s="248"/>
      <c r="DB84" s="248"/>
      <c r="DC84" s="248"/>
      <c r="DD84" s="248"/>
      <c r="DE84" s="248"/>
      <c r="DF84" s="248"/>
      <c r="DG84" s="248"/>
      <c r="DH84" s="248"/>
      <c r="DJ84" s="179" t="e">
        <f>#REF!+((SUMIFS($F84:$AM84,$F$3:$AM$3,$DJ$7)*80%))+SUMIFS(#REF!,#REF!,$DJ$7)</f>
        <v>#REF!</v>
      </c>
      <c r="DK84" s="179">
        <f t="shared" si="41"/>
        <v>0</v>
      </c>
      <c r="DL84" s="173" t="e">
        <f t="shared" si="62"/>
        <v>#REF!</v>
      </c>
    </row>
    <row r="85" spans="1:116">
      <c r="A85" s="168">
        <v>4240</v>
      </c>
      <c r="B85" s="2">
        <v>139746</v>
      </c>
      <c r="C85" s="2" t="s">
        <v>287</v>
      </c>
      <c r="D85" s="30"/>
      <c r="E85" s="226"/>
      <c r="F85" s="176">
        <v>0</v>
      </c>
      <c r="G85" s="176">
        <v>0</v>
      </c>
      <c r="H85" s="176">
        <v>0</v>
      </c>
      <c r="I85" s="176">
        <v>0</v>
      </c>
      <c r="J85" s="176">
        <v>0</v>
      </c>
      <c r="K85" s="176">
        <v>0</v>
      </c>
      <c r="L85" s="30">
        <f t="shared" si="42"/>
        <v>0</v>
      </c>
      <c r="M85" s="176">
        <f t="shared" si="43"/>
        <v>0</v>
      </c>
      <c r="N85" s="226"/>
      <c r="O85" s="176">
        <v>0</v>
      </c>
      <c r="P85" s="176">
        <v>0</v>
      </c>
      <c r="Q85" s="176">
        <v>0</v>
      </c>
      <c r="R85" s="176">
        <v>0</v>
      </c>
      <c r="S85" s="176">
        <v>0</v>
      </c>
      <c r="T85" s="176">
        <v>0</v>
      </c>
      <c r="U85" s="176">
        <f t="shared" si="44"/>
        <v>0</v>
      </c>
      <c r="V85" s="176">
        <f t="shared" si="45"/>
        <v>0</v>
      </c>
      <c r="W85" s="226"/>
      <c r="X85" s="247"/>
      <c r="Y85" s="176">
        <v>0</v>
      </c>
      <c r="Z85" s="176">
        <v>0</v>
      </c>
      <c r="AA85" s="176">
        <v>0</v>
      </c>
      <c r="AB85" s="176">
        <v>0</v>
      </c>
      <c r="AC85" s="176">
        <v>0</v>
      </c>
      <c r="AD85" s="176">
        <f t="shared" si="46"/>
        <v>0</v>
      </c>
      <c r="AE85" s="247">
        <f t="shared" si="47"/>
        <v>0</v>
      </c>
      <c r="AF85" s="226"/>
      <c r="AG85" s="247">
        <v>0</v>
      </c>
      <c r="AH85" s="247">
        <v>0</v>
      </c>
      <c r="AI85" s="247">
        <v>0</v>
      </c>
      <c r="AJ85" s="226"/>
      <c r="AK85" s="247">
        <f t="shared" si="48"/>
        <v>0</v>
      </c>
      <c r="AL85" s="247">
        <f t="shared" si="49"/>
        <v>0</v>
      </c>
      <c r="AM85" s="247">
        <f t="shared" si="50"/>
        <v>0</v>
      </c>
      <c r="AN85" s="225"/>
      <c r="AO85" s="225">
        <v>0</v>
      </c>
      <c r="AP85" s="225">
        <v>0</v>
      </c>
      <c r="AQ85" s="225">
        <v>0</v>
      </c>
      <c r="AR85" s="225">
        <v>0</v>
      </c>
      <c r="AS85" s="225">
        <v>0</v>
      </c>
      <c r="AT85" s="225">
        <v>0</v>
      </c>
      <c r="AU85" s="225">
        <v>0</v>
      </c>
      <c r="AV85" s="225">
        <f t="shared" si="51"/>
        <v>0</v>
      </c>
      <c r="AX85" s="225">
        <f t="shared" si="52"/>
        <v>0</v>
      </c>
      <c r="AY85" s="225">
        <f t="shared" si="53"/>
        <v>0</v>
      </c>
      <c r="AZ85" s="225">
        <f t="shared" si="54"/>
        <v>0</v>
      </c>
      <c r="BA85" s="225">
        <f t="shared" si="55"/>
        <v>0</v>
      </c>
      <c r="BB85" s="225">
        <f t="shared" si="56"/>
        <v>0</v>
      </c>
      <c r="BC85" s="225">
        <f t="shared" si="57"/>
        <v>0</v>
      </c>
      <c r="BD85" s="225">
        <f t="shared" si="58"/>
        <v>0</v>
      </c>
      <c r="BE85" s="225">
        <f t="shared" si="59"/>
        <v>0</v>
      </c>
      <c r="BF85" s="225">
        <f t="shared" si="60"/>
        <v>0</v>
      </c>
      <c r="BG85" s="225">
        <f t="shared" si="33"/>
        <v>0</v>
      </c>
      <c r="BH85" s="225">
        <f t="shared" si="34"/>
        <v>0</v>
      </c>
      <c r="BI85" s="225">
        <f t="shared" si="35"/>
        <v>0</v>
      </c>
      <c r="BJ85" s="225">
        <f t="shared" si="36"/>
        <v>0</v>
      </c>
      <c r="BK85" s="225">
        <f t="shared" si="37"/>
        <v>0</v>
      </c>
      <c r="BL85" s="225">
        <f t="shared" si="38"/>
        <v>0</v>
      </c>
      <c r="BM85" s="225">
        <f t="shared" si="39"/>
        <v>0</v>
      </c>
      <c r="BN85" s="225">
        <f t="shared" si="61"/>
        <v>0</v>
      </c>
      <c r="BO85" s="225">
        <f t="shared" si="40"/>
        <v>0</v>
      </c>
      <c r="BP85" s="225"/>
      <c r="BQ85" s="225"/>
      <c r="BR85" s="225"/>
      <c r="BS85" s="225"/>
      <c r="BT85" s="225"/>
      <c r="BU85" s="225"/>
      <c r="BV85" s="225"/>
      <c r="BW85" s="225"/>
      <c r="BY85" s="176"/>
      <c r="BZ85" s="176"/>
      <c r="CA85" s="176"/>
      <c r="CB85" s="176"/>
      <c r="CC85" s="176"/>
      <c r="CD85" s="176"/>
      <c r="CE85" s="176"/>
      <c r="CF85" s="176"/>
      <c r="CH85" s="248"/>
      <c r="CI85" s="248"/>
      <c r="CJ85" s="248"/>
      <c r="CK85" s="248"/>
      <c r="CL85" s="248"/>
      <c r="CM85" s="248"/>
      <c r="CN85" s="248"/>
      <c r="CO85" s="248"/>
      <c r="CQ85" s="248"/>
      <c r="CR85" s="248"/>
      <c r="CS85" s="248"/>
      <c r="CT85" s="248"/>
      <c r="CU85" s="248"/>
      <c r="CV85" s="248"/>
      <c r="CW85" s="248"/>
      <c r="CX85" s="248"/>
      <c r="CY85" s="248"/>
      <c r="DA85" s="248"/>
      <c r="DB85" s="248"/>
      <c r="DC85" s="248"/>
      <c r="DD85" s="248"/>
      <c r="DE85" s="248"/>
      <c r="DF85" s="248"/>
      <c r="DG85" s="248"/>
      <c r="DH85" s="248"/>
      <c r="DJ85" s="179" t="e">
        <f>#REF!+((SUMIFS($F85:$AM85,$F$3:$AM$3,$DJ$7)*80%))+SUMIFS(#REF!,#REF!,$DJ$7)</f>
        <v>#REF!</v>
      </c>
      <c r="DK85" s="179">
        <f t="shared" si="41"/>
        <v>0</v>
      </c>
      <c r="DL85" s="173" t="e">
        <f t="shared" si="62"/>
        <v>#REF!</v>
      </c>
    </row>
    <row r="86" spans="1:116">
      <c r="A86" s="168">
        <v>6910</v>
      </c>
      <c r="B86" s="2">
        <v>136213</v>
      </c>
      <c r="C86" s="2" t="s">
        <v>288</v>
      </c>
      <c r="D86" s="30"/>
      <c r="E86" s="226"/>
      <c r="F86" s="176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30">
        <f t="shared" si="42"/>
        <v>0</v>
      </c>
      <c r="M86" s="176">
        <f t="shared" si="43"/>
        <v>0</v>
      </c>
      <c r="N86" s="226"/>
      <c r="O86" s="176">
        <v>0</v>
      </c>
      <c r="P86" s="176">
        <v>0</v>
      </c>
      <c r="Q86" s="176">
        <v>0</v>
      </c>
      <c r="R86" s="176">
        <v>0</v>
      </c>
      <c r="S86" s="176">
        <v>0</v>
      </c>
      <c r="T86" s="176">
        <v>0</v>
      </c>
      <c r="U86" s="176">
        <f t="shared" si="44"/>
        <v>0</v>
      </c>
      <c r="V86" s="176">
        <f t="shared" si="45"/>
        <v>0</v>
      </c>
      <c r="W86" s="226"/>
      <c r="X86" s="247"/>
      <c r="Y86" s="176">
        <v>0</v>
      </c>
      <c r="Z86" s="176">
        <v>0</v>
      </c>
      <c r="AA86" s="176">
        <v>0</v>
      </c>
      <c r="AB86" s="176">
        <v>0</v>
      </c>
      <c r="AC86" s="176">
        <v>0</v>
      </c>
      <c r="AD86" s="176">
        <f t="shared" si="46"/>
        <v>0</v>
      </c>
      <c r="AE86" s="247">
        <f t="shared" si="47"/>
        <v>0</v>
      </c>
      <c r="AF86" s="226"/>
      <c r="AG86" s="247">
        <v>0</v>
      </c>
      <c r="AH86" s="247">
        <v>0</v>
      </c>
      <c r="AI86" s="247">
        <v>0</v>
      </c>
      <c r="AJ86" s="226"/>
      <c r="AK86" s="247">
        <f t="shared" si="48"/>
        <v>0</v>
      </c>
      <c r="AL86" s="247">
        <f t="shared" si="49"/>
        <v>0</v>
      </c>
      <c r="AM86" s="247">
        <f t="shared" si="50"/>
        <v>0</v>
      </c>
      <c r="AN86" s="225"/>
      <c r="AO86" s="225">
        <v>0</v>
      </c>
      <c r="AP86" s="225">
        <v>0</v>
      </c>
      <c r="AQ86" s="225">
        <v>0</v>
      </c>
      <c r="AR86" s="225">
        <v>0</v>
      </c>
      <c r="AS86" s="225">
        <v>0</v>
      </c>
      <c r="AT86" s="225">
        <v>0</v>
      </c>
      <c r="AU86" s="225">
        <v>0</v>
      </c>
      <c r="AV86" s="225">
        <f t="shared" si="51"/>
        <v>0</v>
      </c>
      <c r="AX86" s="225">
        <f t="shared" si="52"/>
        <v>0</v>
      </c>
      <c r="AY86" s="225">
        <f t="shared" si="53"/>
        <v>0</v>
      </c>
      <c r="AZ86" s="225">
        <f t="shared" si="54"/>
        <v>0</v>
      </c>
      <c r="BA86" s="225">
        <f t="shared" si="55"/>
        <v>0</v>
      </c>
      <c r="BB86" s="225">
        <f t="shared" si="56"/>
        <v>0</v>
      </c>
      <c r="BC86" s="225">
        <f t="shared" si="57"/>
        <v>0</v>
      </c>
      <c r="BD86" s="225">
        <f t="shared" si="58"/>
        <v>0</v>
      </c>
      <c r="BE86" s="225">
        <f t="shared" si="59"/>
        <v>0</v>
      </c>
      <c r="BF86" s="225">
        <f t="shared" si="60"/>
        <v>0</v>
      </c>
      <c r="BG86" s="225">
        <f t="shared" si="33"/>
        <v>0</v>
      </c>
      <c r="BH86" s="225">
        <f t="shared" si="34"/>
        <v>0</v>
      </c>
      <c r="BI86" s="225">
        <f t="shared" si="35"/>
        <v>0</v>
      </c>
      <c r="BJ86" s="225">
        <f t="shared" si="36"/>
        <v>0</v>
      </c>
      <c r="BK86" s="225">
        <f t="shared" si="37"/>
        <v>0</v>
      </c>
      <c r="BL86" s="225">
        <f t="shared" si="38"/>
        <v>0</v>
      </c>
      <c r="BM86" s="225">
        <f t="shared" si="39"/>
        <v>0</v>
      </c>
      <c r="BN86" s="225">
        <f t="shared" si="61"/>
        <v>0</v>
      </c>
      <c r="BO86" s="225">
        <f t="shared" si="40"/>
        <v>0</v>
      </c>
      <c r="BP86" s="225"/>
      <c r="BQ86" s="225"/>
      <c r="BR86" s="225"/>
      <c r="BS86" s="225"/>
      <c r="BT86" s="225"/>
      <c r="BU86" s="225"/>
      <c r="BV86" s="225"/>
      <c r="BW86" s="225"/>
      <c r="BY86" s="176"/>
      <c r="BZ86" s="176"/>
      <c r="CA86" s="176"/>
      <c r="CB86" s="176"/>
      <c r="CC86" s="176"/>
      <c r="CD86" s="176"/>
      <c r="CE86" s="176"/>
      <c r="CF86" s="176"/>
      <c r="CH86" s="248"/>
      <c r="CI86" s="248"/>
      <c r="CJ86" s="248"/>
      <c r="CK86" s="248"/>
      <c r="CL86" s="248"/>
      <c r="CM86" s="248"/>
      <c r="CN86" s="248"/>
      <c r="CO86" s="248"/>
      <c r="CQ86" s="248"/>
      <c r="CR86" s="248"/>
      <c r="CS86" s="248"/>
      <c r="CT86" s="248"/>
      <c r="CU86" s="248"/>
      <c r="CV86" s="248"/>
      <c r="CW86" s="248"/>
      <c r="CX86" s="248"/>
      <c r="CY86" s="248"/>
      <c r="DA86" s="248"/>
      <c r="DB86" s="248"/>
      <c r="DC86" s="248"/>
      <c r="DD86" s="248"/>
      <c r="DE86" s="248"/>
      <c r="DF86" s="248"/>
      <c r="DG86" s="248"/>
      <c r="DH86" s="248"/>
      <c r="DJ86" s="179" t="e">
        <f>#REF!+((SUMIFS($F86:$AM86,$F$3:$AM$3,$DJ$7)*80%))+SUMIFS(#REF!,#REF!,$DJ$7)</f>
        <v>#REF!</v>
      </c>
      <c r="DK86" s="179">
        <f t="shared" si="41"/>
        <v>0</v>
      </c>
      <c r="DL86" s="173" t="e">
        <f t="shared" si="62"/>
        <v>#REF!</v>
      </c>
    </row>
    <row r="87" spans="1:116">
      <c r="A87" s="168">
        <v>2121</v>
      </c>
      <c r="B87" s="2">
        <v>139269</v>
      </c>
      <c r="C87" s="2" t="s">
        <v>289</v>
      </c>
      <c r="D87" s="30"/>
      <c r="E87" s="226"/>
      <c r="F87" s="176">
        <v>0</v>
      </c>
      <c r="G87" s="176">
        <v>0</v>
      </c>
      <c r="H87" s="176">
        <v>35318.400000000001</v>
      </c>
      <c r="I87" s="176">
        <v>4095</v>
      </c>
      <c r="J87" s="176">
        <v>1267.8421052631579</v>
      </c>
      <c r="K87" s="176">
        <v>0</v>
      </c>
      <c r="L87" s="30">
        <f t="shared" si="42"/>
        <v>40681.242105263162</v>
      </c>
      <c r="M87" s="176">
        <f t="shared" si="43"/>
        <v>32544.993684210531</v>
      </c>
      <c r="N87" s="226"/>
      <c r="O87" s="176">
        <v>0</v>
      </c>
      <c r="P87" s="176">
        <v>0</v>
      </c>
      <c r="Q87" s="176">
        <v>19866.600000000002</v>
      </c>
      <c r="R87" s="176">
        <v>1755</v>
      </c>
      <c r="S87" s="176">
        <v>671.21052631578948</v>
      </c>
      <c r="T87" s="176">
        <v>0</v>
      </c>
      <c r="U87" s="176">
        <f t="shared" si="44"/>
        <v>22292.810526315792</v>
      </c>
      <c r="V87" s="176">
        <f t="shared" si="45"/>
        <v>17834.248421052635</v>
      </c>
      <c r="W87" s="226"/>
      <c r="X87" s="247"/>
      <c r="Y87" s="176">
        <v>0</v>
      </c>
      <c r="Z87" s="176">
        <v>23164.294736842105</v>
      </c>
      <c r="AA87" s="176">
        <v>2671.5789473684213</v>
      </c>
      <c r="AB87" s="176">
        <v>934.80332409972289</v>
      </c>
      <c r="AC87" s="176">
        <v>0</v>
      </c>
      <c r="AD87" s="176">
        <f t="shared" si="46"/>
        <v>26770.677008310246</v>
      </c>
      <c r="AE87" s="247">
        <f t="shared" si="47"/>
        <v>21416.541606648199</v>
      </c>
      <c r="AF87" s="226"/>
      <c r="AG87" s="247">
        <v>2768.9999999999995</v>
      </c>
      <c r="AH87" s="247">
        <v>1550.2499999999998</v>
      </c>
      <c r="AI87" s="247">
        <v>1826.9052631578948</v>
      </c>
      <c r="AJ87" s="226"/>
      <c r="AK87" s="247">
        <f t="shared" si="48"/>
        <v>2215.1999999999998</v>
      </c>
      <c r="AL87" s="247">
        <f t="shared" si="49"/>
        <v>1240.1999999999998</v>
      </c>
      <c r="AM87" s="247">
        <f t="shared" si="50"/>
        <v>1461.524210526316</v>
      </c>
      <c r="AN87" s="225"/>
      <c r="AO87" s="225">
        <v>0</v>
      </c>
      <c r="AP87" s="225">
        <v>0</v>
      </c>
      <c r="AQ87" s="225">
        <v>30903.600000000002</v>
      </c>
      <c r="AR87" s="225">
        <v>3120</v>
      </c>
      <c r="AS87" s="225">
        <v>1193.2631578947369</v>
      </c>
      <c r="AT87" s="225">
        <v>0</v>
      </c>
      <c r="AU87" s="225">
        <v>2299.0500000000002</v>
      </c>
      <c r="AV87" s="225">
        <f t="shared" si="51"/>
        <v>37515.913157894749</v>
      </c>
      <c r="AX87" s="225">
        <f t="shared" si="52"/>
        <v>0</v>
      </c>
      <c r="AY87" s="225">
        <f t="shared" si="53"/>
        <v>0</v>
      </c>
      <c r="AZ87" s="225">
        <f t="shared" si="54"/>
        <v>-4414.7999999999993</v>
      </c>
      <c r="BA87" s="225">
        <f t="shared" si="55"/>
        <v>-975</v>
      </c>
      <c r="BB87" s="225">
        <f t="shared" si="56"/>
        <v>-74.578947368421041</v>
      </c>
      <c r="BC87" s="225">
        <f t="shared" si="57"/>
        <v>0</v>
      </c>
      <c r="BD87" s="225">
        <f t="shared" si="58"/>
        <v>-469.94999999999936</v>
      </c>
      <c r="BE87" s="225">
        <f t="shared" si="59"/>
        <v>-5934.3289473684199</v>
      </c>
      <c r="BF87" s="225">
        <f t="shared" si="60"/>
        <v>0</v>
      </c>
      <c r="BG87" s="225">
        <f t="shared" si="33"/>
        <v>0</v>
      </c>
      <c r="BH87" s="225">
        <f t="shared" si="34"/>
        <v>0</v>
      </c>
      <c r="BI87" s="225">
        <f t="shared" si="35"/>
        <v>2648.880000000001</v>
      </c>
      <c r="BJ87" s="225">
        <f t="shared" si="36"/>
        <v>-156</v>
      </c>
      <c r="BK87" s="225">
        <f t="shared" si="37"/>
        <v>178.98947368421045</v>
      </c>
      <c r="BL87" s="225">
        <f t="shared" si="38"/>
        <v>0</v>
      </c>
      <c r="BM87" s="225">
        <f t="shared" si="39"/>
        <v>83.850000000000364</v>
      </c>
      <c r="BN87" s="225">
        <f t="shared" si="61"/>
        <v>2755.7194736842121</v>
      </c>
      <c r="BO87" s="225">
        <f t="shared" si="40"/>
        <v>0</v>
      </c>
      <c r="BP87" s="225"/>
      <c r="BQ87" s="225"/>
      <c r="BR87" s="225"/>
      <c r="BS87" s="225"/>
      <c r="BT87" s="225"/>
      <c r="BU87" s="225"/>
      <c r="BV87" s="225"/>
      <c r="BW87" s="225"/>
      <c r="BY87" s="176"/>
      <c r="BZ87" s="176"/>
      <c r="CA87" s="176"/>
      <c r="CB87" s="176"/>
      <c r="CC87" s="176"/>
      <c r="CD87" s="176"/>
      <c r="CE87" s="176"/>
      <c r="CF87" s="176"/>
      <c r="CH87" s="248"/>
      <c r="CI87" s="248"/>
      <c r="CJ87" s="248"/>
      <c r="CK87" s="248"/>
      <c r="CL87" s="248"/>
      <c r="CM87" s="248"/>
      <c r="CN87" s="248"/>
      <c r="CO87" s="248"/>
      <c r="CQ87" s="248"/>
      <c r="CR87" s="248"/>
      <c r="CS87" s="248"/>
      <c r="CT87" s="248"/>
      <c r="CU87" s="248"/>
      <c r="CV87" s="248"/>
      <c r="CW87" s="248"/>
      <c r="CX87" s="248"/>
      <c r="CY87" s="248"/>
      <c r="DA87" s="248"/>
      <c r="DB87" s="248"/>
      <c r="DC87" s="248"/>
      <c r="DD87" s="248"/>
      <c r="DE87" s="248"/>
      <c r="DF87" s="248"/>
      <c r="DG87" s="248"/>
      <c r="DH87" s="248"/>
      <c r="DJ87" s="179" t="e">
        <f>#REF!+((SUMIFS($F87:$AM87,$F$3:$AM$3,$DJ$7)*80%))+SUMIFS(#REF!,#REF!,$DJ$7)</f>
        <v>#REF!</v>
      </c>
      <c r="DK87" s="179">
        <f t="shared" si="41"/>
        <v>0</v>
      </c>
      <c r="DL87" s="173" t="e">
        <f t="shared" si="62"/>
        <v>#REF!</v>
      </c>
    </row>
    <row r="88" spans="1:116">
      <c r="A88" s="168">
        <v>2313</v>
      </c>
      <c r="B88" s="2">
        <v>149366</v>
      </c>
      <c r="C88" s="2" t="s">
        <v>290</v>
      </c>
      <c r="D88" s="30"/>
      <c r="E88" s="226"/>
      <c r="F88" s="176">
        <v>0</v>
      </c>
      <c r="G88" s="176">
        <v>0</v>
      </c>
      <c r="H88" s="176">
        <v>0</v>
      </c>
      <c r="I88" s="176">
        <v>0</v>
      </c>
      <c r="J88" s="176">
        <v>0</v>
      </c>
      <c r="K88" s="176">
        <v>0</v>
      </c>
      <c r="L88" s="30">
        <f t="shared" si="42"/>
        <v>0</v>
      </c>
      <c r="M88" s="176">
        <f t="shared" si="43"/>
        <v>0</v>
      </c>
      <c r="N88" s="226"/>
      <c r="O88" s="176">
        <v>0</v>
      </c>
      <c r="P88" s="176">
        <v>0</v>
      </c>
      <c r="Q88" s="176">
        <v>0</v>
      </c>
      <c r="R88" s="176">
        <v>0</v>
      </c>
      <c r="S88" s="176">
        <v>0</v>
      </c>
      <c r="T88" s="176">
        <v>0</v>
      </c>
      <c r="U88" s="176">
        <f t="shared" si="44"/>
        <v>0</v>
      </c>
      <c r="V88" s="176">
        <f t="shared" si="45"/>
        <v>0</v>
      </c>
      <c r="W88" s="226"/>
      <c r="X88" s="247"/>
      <c r="Y88" s="176">
        <v>0</v>
      </c>
      <c r="Z88" s="176">
        <v>0</v>
      </c>
      <c r="AA88" s="176">
        <v>0</v>
      </c>
      <c r="AB88" s="176">
        <v>0</v>
      </c>
      <c r="AC88" s="176">
        <v>0</v>
      </c>
      <c r="AD88" s="176">
        <f t="shared" si="46"/>
        <v>0</v>
      </c>
      <c r="AE88" s="247">
        <f t="shared" si="47"/>
        <v>0</v>
      </c>
      <c r="AF88" s="226"/>
      <c r="AG88" s="247">
        <v>0</v>
      </c>
      <c r="AH88" s="247">
        <v>0</v>
      </c>
      <c r="AI88" s="247">
        <v>0</v>
      </c>
      <c r="AJ88" s="226"/>
      <c r="AK88" s="247">
        <f t="shared" si="48"/>
        <v>0</v>
      </c>
      <c r="AL88" s="247">
        <f t="shared" si="49"/>
        <v>0</v>
      </c>
      <c r="AM88" s="247">
        <f t="shared" si="50"/>
        <v>0</v>
      </c>
      <c r="AN88" s="225"/>
      <c r="AO88" s="225">
        <v>0</v>
      </c>
      <c r="AP88" s="225">
        <v>0</v>
      </c>
      <c r="AQ88" s="225">
        <v>0</v>
      </c>
      <c r="AR88" s="225">
        <v>0</v>
      </c>
      <c r="AS88" s="225">
        <v>0</v>
      </c>
      <c r="AT88" s="225">
        <v>0</v>
      </c>
      <c r="AU88" s="225">
        <v>0</v>
      </c>
      <c r="AV88" s="225">
        <f t="shared" si="51"/>
        <v>0</v>
      </c>
      <c r="AX88" s="225">
        <f t="shared" si="52"/>
        <v>0</v>
      </c>
      <c r="AY88" s="225">
        <f t="shared" si="53"/>
        <v>0</v>
      </c>
      <c r="AZ88" s="225">
        <f t="shared" si="54"/>
        <v>0</v>
      </c>
      <c r="BA88" s="225">
        <f t="shared" si="55"/>
        <v>0</v>
      </c>
      <c r="BB88" s="225">
        <f t="shared" si="56"/>
        <v>0</v>
      </c>
      <c r="BC88" s="225">
        <f t="shared" si="57"/>
        <v>0</v>
      </c>
      <c r="BD88" s="225">
        <f t="shared" si="58"/>
        <v>0</v>
      </c>
      <c r="BE88" s="225">
        <f t="shared" si="59"/>
        <v>0</v>
      </c>
      <c r="BF88" s="225">
        <f t="shared" si="60"/>
        <v>0</v>
      </c>
      <c r="BG88" s="225">
        <f t="shared" si="33"/>
        <v>0</v>
      </c>
      <c r="BH88" s="225">
        <f t="shared" si="34"/>
        <v>0</v>
      </c>
      <c r="BI88" s="225">
        <f t="shared" si="35"/>
        <v>0</v>
      </c>
      <c r="BJ88" s="225">
        <f t="shared" si="36"/>
        <v>0</v>
      </c>
      <c r="BK88" s="225">
        <f t="shared" si="37"/>
        <v>0</v>
      </c>
      <c r="BL88" s="225">
        <f t="shared" si="38"/>
        <v>0</v>
      </c>
      <c r="BM88" s="225">
        <f t="shared" si="39"/>
        <v>0</v>
      </c>
      <c r="BN88" s="225">
        <f t="shared" si="61"/>
        <v>0</v>
      </c>
      <c r="BO88" s="225">
        <f t="shared" si="40"/>
        <v>0</v>
      </c>
      <c r="BP88" s="225"/>
      <c r="BQ88" s="225"/>
      <c r="BR88" s="225"/>
      <c r="BS88" s="225"/>
      <c r="BT88" s="225"/>
      <c r="BU88" s="225"/>
      <c r="BV88" s="225"/>
      <c r="BW88" s="225"/>
      <c r="BY88" s="176"/>
      <c r="BZ88" s="176"/>
      <c r="CA88" s="176"/>
      <c r="CB88" s="176"/>
      <c r="CC88" s="176"/>
      <c r="CD88" s="176"/>
      <c r="CE88" s="176"/>
      <c r="CF88" s="176"/>
      <c r="CH88" s="248"/>
      <c r="CI88" s="248"/>
      <c r="CJ88" s="248"/>
      <c r="CK88" s="248"/>
      <c r="CL88" s="248"/>
      <c r="CM88" s="248"/>
      <c r="CN88" s="248"/>
      <c r="CO88" s="248"/>
      <c r="CQ88" s="248"/>
      <c r="CR88" s="248"/>
      <c r="CS88" s="248"/>
      <c r="CT88" s="248"/>
      <c r="CU88" s="248"/>
      <c r="CV88" s="248"/>
      <c r="CW88" s="248"/>
      <c r="CX88" s="248"/>
      <c r="CY88" s="248"/>
      <c r="DA88" s="248"/>
      <c r="DB88" s="248"/>
      <c r="DC88" s="248"/>
      <c r="DD88" s="248"/>
      <c r="DE88" s="248"/>
      <c r="DF88" s="248"/>
      <c r="DG88" s="248"/>
      <c r="DH88" s="248"/>
      <c r="DJ88" s="179" t="e">
        <f>#REF!+((SUMIFS($F88:$AM88,$F$3:$AM$3,$DJ$7)*80%))+SUMIFS(#REF!,#REF!,$DJ$7)</f>
        <v>#REF!</v>
      </c>
      <c r="DK88" s="179">
        <f t="shared" si="41"/>
        <v>0</v>
      </c>
      <c r="DL88" s="173" t="e">
        <f t="shared" si="62"/>
        <v>#REF!</v>
      </c>
    </row>
    <row r="89" spans="1:116">
      <c r="A89" s="168">
        <v>2309</v>
      </c>
      <c r="B89" s="2">
        <v>142231</v>
      </c>
      <c r="C89" s="2" t="s">
        <v>291</v>
      </c>
      <c r="D89" s="30"/>
      <c r="E89" s="226"/>
      <c r="F89" s="176">
        <v>0</v>
      </c>
      <c r="G89" s="176">
        <v>0</v>
      </c>
      <c r="H89" s="176">
        <v>52977.600000000006</v>
      </c>
      <c r="I89" s="176">
        <v>1365</v>
      </c>
      <c r="J89" s="176">
        <v>0</v>
      </c>
      <c r="K89" s="176">
        <v>0</v>
      </c>
      <c r="L89" s="30">
        <f t="shared" si="42"/>
        <v>54342.600000000006</v>
      </c>
      <c r="M89" s="176">
        <f t="shared" si="43"/>
        <v>43474.080000000009</v>
      </c>
      <c r="N89" s="226"/>
      <c r="O89" s="176">
        <v>0</v>
      </c>
      <c r="P89" s="176">
        <v>0</v>
      </c>
      <c r="Q89" s="176">
        <v>44148</v>
      </c>
      <c r="R89" s="176">
        <v>1560</v>
      </c>
      <c r="S89" s="176">
        <v>596.63157894736844</v>
      </c>
      <c r="T89" s="176">
        <v>0</v>
      </c>
      <c r="U89" s="176">
        <f t="shared" si="44"/>
        <v>46304.631578947367</v>
      </c>
      <c r="V89" s="176">
        <f t="shared" si="45"/>
        <v>37043.705263157892</v>
      </c>
      <c r="W89" s="226"/>
      <c r="X89" s="247"/>
      <c r="Y89" s="176">
        <v>0</v>
      </c>
      <c r="Z89" s="176">
        <v>43111.326315789469</v>
      </c>
      <c r="AA89" s="176">
        <v>1193.6842105263158</v>
      </c>
      <c r="AB89" s="176">
        <v>304.35457063711908</v>
      </c>
      <c r="AC89" s="176">
        <v>0</v>
      </c>
      <c r="AD89" s="176">
        <f t="shared" si="46"/>
        <v>44609.365096952904</v>
      </c>
      <c r="AE89" s="247">
        <f t="shared" si="47"/>
        <v>35687.492077562325</v>
      </c>
      <c r="AF89" s="226"/>
      <c r="AG89" s="247">
        <v>1396.2</v>
      </c>
      <c r="AH89" s="247">
        <v>1207.05</v>
      </c>
      <c r="AI89" s="247">
        <v>1161.2842105263157</v>
      </c>
      <c r="AJ89" s="226"/>
      <c r="AK89" s="247">
        <f t="shared" si="48"/>
        <v>1116.96</v>
      </c>
      <c r="AL89" s="247">
        <f t="shared" si="49"/>
        <v>965.64</v>
      </c>
      <c r="AM89" s="247">
        <f t="shared" si="50"/>
        <v>929.02736842105264</v>
      </c>
      <c r="AN89" s="225"/>
      <c r="AO89" s="225">
        <v>0</v>
      </c>
      <c r="AP89" s="225">
        <v>0</v>
      </c>
      <c r="AQ89" s="225">
        <v>54081.3</v>
      </c>
      <c r="AR89" s="225">
        <v>2925</v>
      </c>
      <c r="AS89" s="225">
        <v>1118.6842105263158</v>
      </c>
      <c r="AT89" s="225">
        <v>0</v>
      </c>
      <c r="AU89" s="225">
        <v>1454.7</v>
      </c>
      <c r="AV89" s="225">
        <f t="shared" si="51"/>
        <v>59579.684210526313</v>
      </c>
      <c r="AX89" s="225">
        <f t="shared" si="52"/>
        <v>0</v>
      </c>
      <c r="AY89" s="225">
        <f t="shared" si="53"/>
        <v>0</v>
      </c>
      <c r="AZ89" s="225">
        <f t="shared" si="54"/>
        <v>1103.6999999999971</v>
      </c>
      <c r="BA89" s="225">
        <f t="shared" si="55"/>
        <v>1560</v>
      </c>
      <c r="BB89" s="225">
        <f t="shared" si="56"/>
        <v>1118.6842105263158</v>
      </c>
      <c r="BC89" s="225">
        <f t="shared" si="57"/>
        <v>0</v>
      </c>
      <c r="BD89" s="225">
        <f t="shared" si="58"/>
        <v>58.5</v>
      </c>
      <c r="BE89" s="225">
        <f t="shared" si="59"/>
        <v>3840.8842105263129</v>
      </c>
      <c r="BF89" s="225">
        <f t="shared" si="60"/>
        <v>0</v>
      </c>
      <c r="BG89" s="225">
        <f t="shared" si="33"/>
        <v>0</v>
      </c>
      <c r="BH89" s="225">
        <f t="shared" si="34"/>
        <v>0</v>
      </c>
      <c r="BI89" s="225">
        <f t="shared" si="35"/>
        <v>11699.219999999994</v>
      </c>
      <c r="BJ89" s="225">
        <f t="shared" si="36"/>
        <v>1833</v>
      </c>
      <c r="BK89" s="225">
        <f t="shared" si="37"/>
        <v>1118.6842105263158</v>
      </c>
      <c r="BL89" s="225">
        <f t="shared" si="38"/>
        <v>0</v>
      </c>
      <c r="BM89" s="225">
        <f t="shared" si="39"/>
        <v>337.74</v>
      </c>
      <c r="BN89" s="225">
        <f t="shared" si="61"/>
        <v>14988.64421052631</v>
      </c>
      <c r="BO89" s="225">
        <f t="shared" si="40"/>
        <v>0</v>
      </c>
      <c r="BP89" s="225"/>
      <c r="BQ89" s="225"/>
      <c r="BR89" s="225"/>
      <c r="BS89" s="225"/>
      <c r="BT89" s="225"/>
      <c r="BU89" s="225"/>
      <c r="BV89" s="225"/>
      <c r="BW89" s="225"/>
      <c r="BY89" s="176"/>
      <c r="BZ89" s="176"/>
      <c r="CA89" s="176"/>
      <c r="CB89" s="176"/>
      <c r="CC89" s="176"/>
      <c r="CD89" s="176"/>
      <c r="CE89" s="176"/>
      <c r="CF89" s="176"/>
      <c r="CH89" s="248"/>
      <c r="CI89" s="248"/>
      <c r="CJ89" s="248"/>
      <c r="CK89" s="248"/>
      <c r="CL89" s="248"/>
      <c r="CM89" s="248"/>
      <c r="CN89" s="248"/>
      <c r="CO89" s="248"/>
      <c r="CQ89" s="248"/>
      <c r="CR89" s="248"/>
      <c r="CS89" s="248"/>
      <c r="CT89" s="248"/>
      <c r="CU89" s="248"/>
      <c r="CV89" s="248"/>
      <c r="CW89" s="248"/>
      <c r="CX89" s="248"/>
      <c r="CY89" s="248"/>
      <c r="DA89" s="248"/>
      <c r="DB89" s="248"/>
      <c r="DC89" s="248"/>
      <c r="DD89" s="248"/>
      <c r="DE89" s="248"/>
      <c r="DF89" s="248"/>
      <c r="DG89" s="248"/>
      <c r="DH89" s="248"/>
      <c r="DJ89" s="179" t="e">
        <f>#REF!+((SUMIFS($F89:$AM89,$F$3:$AM$3,$DJ$7)*80%))+SUMIFS(#REF!,#REF!,$DJ$7)</f>
        <v>#REF!</v>
      </c>
      <c r="DK89" s="179">
        <f t="shared" si="41"/>
        <v>0</v>
      </c>
      <c r="DL89" s="173" t="e">
        <f t="shared" si="62"/>
        <v>#REF!</v>
      </c>
    </row>
    <row r="90" spans="1:116">
      <c r="A90" s="168">
        <v>2455</v>
      </c>
      <c r="B90" s="2">
        <v>140890</v>
      </c>
      <c r="C90" s="2" t="s">
        <v>292</v>
      </c>
      <c r="D90" s="30"/>
      <c r="E90" s="226"/>
      <c r="F90" s="176">
        <v>0</v>
      </c>
      <c r="G90" s="176">
        <v>0</v>
      </c>
      <c r="H90" s="176">
        <v>49666.5</v>
      </c>
      <c r="I90" s="176">
        <v>2730</v>
      </c>
      <c r="J90" s="176">
        <v>149.15789473684211</v>
      </c>
      <c r="K90" s="176">
        <v>0</v>
      </c>
      <c r="L90" s="30">
        <f t="shared" si="42"/>
        <v>52545.65789473684</v>
      </c>
      <c r="M90" s="176">
        <f t="shared" si="43"/>
        <v>42036.526315789473</v>
      </c>
      <c r="N90" s="226"/>
      <c r="O90" s="176">
        <v>0</v>
      </c>
      <c r="P90" s="176">
        <v>0</v>
      </c>
      <c r="Q90" s="176">
        <v>51873.9</v>
      </c>
      <c r="R90" s="176">
        <v>1755</v>
      </c>
      <c r="S90" s="176">
        <v>596.63157894736844</v>
      </c>
      <c r="T90" s="176">
        <v>0</v>
      </c>
      <c r="U90" s="176">
        <f t="shared" si="44"/>
        <v>54225.531578947368</v>
      </c>
      <c r="V90" s="176">
        <f t="shared" si="45"/>
        <v>43380.4252631579</v>
      </c>
      <c r="W90" s="226"/>
      <c r="X90" s="247"/>
      <c r="Y90" s="176">
        <v>0</v>
      </c>
      <c r="Z90" s="176">
        <v>41502.694736842095</v>
      </c>
      <c r="AA90" s="176">
        <v>1989.4736842105262</v>
      </c>
      <c r="AB90" s="176">
        <v>478.27146814404432</v>
      </c>
      <c r="AC90" s="176">
        <v>0</v>
      </c>
      <c r="AD90" s="176">
        <f t="shared" si="46"/>
        <v>43970.439889196663</v>
      </c>
      <c r="AE90" s="247">
        <f t="shared" si="47"/>
        <v>35176.351911357335</v>
      </c>
      <c r="AF90" s="226"/>
      <c r="AG90" s="247">
        <v>2020.1999999999998</v>
      </c>
      <c r="AH90" s="247">
        <v>965.25</v>
      </c>
      <c r="AI90" s="247">
        <v>1405.1368421052632</v>
      </c>
      <c r="AJ90" s="226"/>
      <c r="AK90" s="247">
        <f t="shared" si="48"/>
        <v>1616.1599999999999</v>
      </c>
      <c r="AL90" s="247">
        <f t="shared" si="49"/>
        <v>772.2</v>
      </c>
      <c r="AM90" s="247">
        <f t="shared" si="50"/>
        <v>1124.1094736842106</v>
      </c>
      <c r="AN90" s="225"/>
      <c r="AO90" s="225">
        <v>0</v>
      </c>
      <c r="AP90" s="225">
        <v>0</v>
      </c>
      <c r="AQ90" s="225">
        <v>52977.600000000006</v>
      </c>
      <c r="AR90" s="225">
        <v>1950</v>
      </c>
      <c r="AS90" s="225">
        <v>745.78947368421052</v>
      </c>
      <c r="AT90" s="225">
        <v>0</v>
      </c>
      <c r="AU90" s="225">
        <v>1084.2</v>
      </c>
      <c r="AV90" s="225">
        <f t="shared" si="51"/>
        <v>56757.589473684217</v>
      </c>
      <c r="AX90" s="225">
        <f t="shared" si="52"/>
        <v>0</v>
      </c>
      <c r="AY90" s="225">
        <f t="shared" si="53"/>
        <v>0</v>
      </c>
      <c r="AZ90" s="225">
        <f t="shared" si="54"/>
        <v>3311.1000000000058</v>
      </c>
      <c r="BA90" s="225">
        <f t="shared" si="55"/>
        <v>-780</v>
      </c>
      <c r="BB90" s="225">
        <f t="shared" si="56"/>
        <v>596.63157894736844</v>
      </c>
      <c r="BC90" s="225">
        <f t="shared" si="57"/>
        <v>0</v>
      </c>
      <c r="BD90" s="225">
        <f t="shared" si="58"/>
        <v>-935.99999999999977</v>
      </c>
      <c r="BE90" s="225">
        <f t="shared" si="59"/>
        <v>2191.7315789473741</v>
      </c>
      <c r="BF90" s="225">
        <f t="shared" si="60"/>
        <v>0</v>
      </c>
      <c r="BG90" s="225">
        <f t="shared" si="33"/>
        <v>0</v>
      </c>
      <c r="BH90" s="225">
        <f t="shared" si="34"/>
        <v>0</v>
      </c>
      <c r="BI90" s="225">
        <f t="shared" si="35"/>
        <v>13244.400000000001</v>
      </c>
      <c r="BJ90" s="225">
        <f t="shared" si="36"/>
        <v>-234</v>
      </c>
      <c r="BK90" s="225">
        <f t="shared" si="37"/>
        <v>626.46315789473681</v>
      </c>
      <c r="BL90" s="225">
        <f t="shared" si="38"/>
        <v>0</v>
      </c>
      <c r="BM90" s="225">
        <f t="shared" si="39"/>
        <v>-531.95999999999981</v>
      </c>
      <c r="BN90" s="225">
        <f t="shared" si="61"/>
        <v>13104.90315789474</v>
      </c>
      <c r="BO90" s="225">
        <f t="shared" si="40"/>
        <v>0</v>
      </c>
      <c r="BP90" s="225"/>
      <c r="BQ90" s="225"/>
      <c r="BR90" s="225"/>
      <c r="BS90" s="225"/>
      <c r="BT90" s="225"/>
      <c r="BU90" s="225"/>
      <c r="BV90" s="225"/>
      <c r="BW90" s="225"/>
      <c r="BY90" s="176"/>
      <c r="BZ90" s="176"/>
      <c r="CA90" s="176"/>
      <c r="CB90" s="176"/>
      <c r="CC90" s="176"/>
      <c r="CD90" s="176"/>
      <c r="CE90" s="176"/>
      <c r="CF90" s="176"/>
      <c r="CH90" s="248"/>
      <c r="CI90" s="248"/>
      <c r="CJ90" s="248"/>
      <c r="CK90" s="248"/>
      <c r="CL90" s="248"/>
      <c r="CM90" s="248"/>
      <c r="CN90" s="248"/>
      <c r="CO90" s="248"/>
      <c r="CQ90" s="248"/>
      <c r="CR90" s="248"/>
      <c r="CS90" s="248"/>
      <c r="CT90" s="248"/>
      <c r="CU90" s="248"/>
      <c r="CV90" s="248"/>
      <c r="CW90" s="248"/>
      <c r="CX90" s="248"/>
      <c r="CY90" s="248"/>
      <c r="DA90" s="248"/>
      <c r="DB90" s="248"/>
      <c r="DC90" s="248"/>
      <c r="DD90" s="248"/>
      <c r="DE90" s="248"/>
      <c r="DF90" s="248"/>
      <c r="DG90" s="248"/>
      <c r="DH90" s="248"/>
      <c r="DJ90" s="179" t="e">
        <f>#REF!+((SUMIFS($F90:$AM90,$F$3:$AM$3,$DJ$7)*80%))+SUMIFS(#REF!,#REF!,$DJ$7)</f>
        <v>#REF!</v>
      </c>
      <c r="DK90" s="179">
        <f t="shared" si="41"/>
        <v>0</v>
      </c>
      <c r="DL90" s="173" t="e">
        <f t="shared" si="62"/>
        <v>#REF!</v>
      </c>
    </row>
    <row r="91" spans="1:116">
      <c r="A91" s="168">
        <v>2165</v>
      </c>
      <c r="B91" s="2">
        <v>142570</v>
      </c>
      <c r="C91" s="2" t="s">
        <v>293</v>
      </c>
      <c r="D91" s="30"/>
      <c r="E91" s="226"/>
      <c r="F91" s="176">
        <v>0</v>
      </c>
      <c r="G91" s="176">
        <v>0</v>
      </c>
      <c r="H91" s="176">
        <v>0</v>
      </c>
      <c r="I91" s="176">
        <v>0</v>
      </c>
      <c r="J91" s="176">
        <v>0</v>
      </c>
      <c r="K91" s="176">
        <v>0</v>
      </c>
      <c r="L91" s="30">
        <f t="shared" si="42"/>
        <v>0</v>
      </c>
      <c r="M91" s="176">
        <f t="shared" si="43"/>
        <v>0</v>
      </c>
      <c r="N91" s="226"/>
      <c r="O91" s="176">
        <v>0</v>
      </c>
      <c r="P91" s="176">
        <v>0</v>
      </c>
      <c r="Q91" s="176">
        <v>0</v>
      </c>
      <c r="R91" s="176">
        <v>0</v>
      </c>
      <c r="S91" s="176">
        <v>0</v>
      </c>
      <c r="T91" s="176">
        <v>0</v>
      </c>
      <c r="U91" s="176">
        <f t="shared" si="44"/>
        <v>0</v>
      </c>
      <c r="V91" s="176">
        <f t="shared" si="45"/>
        <v>0</v>
      </c>
      <c r="W91" s="226"/>
      <c r="X91" s="247"/>
      <c r="Y91" s="176">
        <v>0</v>
      </c>
      <c r="Z91" s="176">
        <v>0</v>
      </c>
      <c r="AA91" s="176">
        <v>0</v>
      </c>
      <c r="AB91" s="176">
        <v>0</v>
      </c>
      <c r="AC91" s="176">
        <v>0</v>
      </c>
      <c r="AD91" s="176">
        <f t="shared" si="46"/>
        <v>0</v>
      </c>
      <c r="AE91" s="247">
        <f t="shared" si="47"/>
        <v>0</v>
      </c>
      <c r="AF91" s="226"/>
      <c r="AG91" s="247">
        <v>0</v>
      </c>
      <c r="AH91" s="247">
        <v>0</v>
      </c>
      <c r="AI91" s="247">
        <v>0</v>
      </c>
      <c r="AJ91" s="226"/>
      <c r="AK91" s="247">
        <f t="shared" si="48"/>
        <v>0</v>
      </c>
      <c r="AL91" s="247">
        <f t="shared" si="49"/>
        <v>0</v>
      </c>
      <c r="AM91" s="247">
        <f t="shared" si="50"/>
        <v>0</v>
      </c>
      <c r="AN91" s="225"/>
      <c r="AO91" s="225">
        <v>0</v>
      </c>
      <c r="AP91" s="225">
        <v>0</v>
      </c>
      <c r="AQ91" s="225">
        <v>0</v>
      </c>
      <c r="AR91" s="225">
        <v>0</v>
      </c>
      <c r="AS91" s="225">
        <v>0</v>
      </c>
      <c r="AT91" s="225">
        <v>0</v>
      </c>
      <c r="AU91" s="225">
        <v>0</v>
      </c>
      <c r="AV91" s="225">
        <f t="shared" si="51"/>
        <v>0</v>
      </c>
      <c r="AX91" s="225">
        <f t="shared" si="52"/>
        <v>0</v>
      </c>
      <c r="AY91" s="225">
        <f t="shared" si="53"/>
        <v>0</v>
      </c>
      <c r="AZ91" s="225">
        <f t="shared" si="54"/>
        <v>0</v>
      </c>
      <c r="BA91" s="225">
        <f t="shared" si="55"/>
        <v>0</v>
      </c>
      <c r="BB91" s="225">
        <f t="shared" si="56"/>
        <v>0</v>
      </c>
      <c r="BC91" s="225">
        <f t="shared" si="57"/>
        <v>0</v>
      </c>
      <c r="BD91" s="225">
        <f t="shared" si="58"/>
        <v>0</v>
      </c>
      <c r="BE91" s="225">
        <f t="shared" si="59"/>
        <v>0</v>
      </c>
      <c r="BF91" s="225">
        <f t="shared" si="60"/>
        <v>0</v>
      </c>
      <c r="BG91" s="225">
        <f t="shared" si="33"/>
        <v>0</v>
      </c>
      <c r="BH91" s="225">
        <f t="shared" si="34"/>
        <v>0</v>
      </c>
      <c r="BI91" s="225">
        <f t="shared" si="35"/>
        <v>0</v>
      </c>
      <c r="BJ91" s="225">
        <f t="shared" si="36"/>
        <v>0</v>
      </c>
      <c r="BK91" s="225">
        <f t="shared" si="37"/>
        <v>0</v>
      </c>
      <c r="BL91" s="225">
        <f t="shared" si="38"/>
        <v>0</v>
      </c>
      <c r="BM91" s="225">
        <f t="shared" si="39"/>
        <v>0</v>
      </c>
      <c r="BN91" s="225">
        <f t="shared" si="61"/>
        <v>0</v>
      </c>
      <c r="BO91" s="225">
        <f t="shared" si="40"/>
        <v>0</v>
      </c>
      <c r="BP91" s="225"/>
      <c r="BQ91" s="225"/>
      <c r="BR91" s="225"/>
      <c r="BS91" s="225"/>
      <c r="BT91" s="225"/>
      <c r="BU91" s="225"/>
      <c r="BV91" s="225"/>
      <c r="BW91" s="225"/>
      <c r="BY91" s="176"/>
      <c r="BZ91" s="176"/>
      <c r="CA91" s="176"/>
      <c r="CB91" s="176"/>
      <c r="CC91" s="176"/>
      <c r="CD91" s="176"/>
      <c r="CE91" s="176"/>
      <c r="CF91" s="176"/>
      <c r="CH91" s="248"/>
      <c r="CI91" s="248"/>
      <c r="CJ91" s="248"/>
      <c r="CK91" s="248"/>
      <c r="CL91" s="248"/>
      <c r="CM91" s="248"/>
      <c r="CN91" s="248"/>
      <c r="CO91" s="248"/>
      <c r="CQ91" s="248"/>
      <c r="CR91" s="248"/>
      <c r="CS91" s="248"/>
      <c r="CT91" s="248"/>
      <c r="CU91" s="248"/>
      <c r="CV91" s="248"/>
      <c r="CW91" s="248"/>
      <c r="CX91" s="248"/>
      <c r="CY91" s="248"/>
      <c r="DA91" s="248"/>
      <c r="DB91" s="248"/>
      <c r="DC91" s="248"/>
      <c r="DD91" s="248"/>
      <c r="DE91" s="248"/>
      <c r="DF91" s="248"/>
      <c r="DG91" s="248"/>
      <c r="DH91" s="248"/>
      <c r="DJ91" s="179" t="e">
        <f>#REF!+((SUMIFS($F91:$AM91,$F$3:$AM$3,$DJ$7)*80%))+SUMIFS(#REF!,#REF!,$DJ$7)</f>
        <v>#REF!</v>
      </c>
      <c r="DK91" s="179">
        <f t="shared" si="41"/>
        <v>0</v>
      </c>
      <c r="DL91" s="173" t="e">
        <f t="shared" si="62"/>
        <v>#REF!</v>
      </c>
    </row>
    <row r="92" spans="1:116">
      <c r="A92" s="168">
        <v>2210</v>
      </c>
      <c r="B92" s="2">
        <v>149483</v>
      </c>
      <c r="C92" s="2" t="s">
        <v>294</v>
      </c>
      <c r="D92" s="30"/>
      <c r="E92" s="226"/>
      <c r="F92" s="176">
        <v>0</v>
      </c>
      <c r="G92" s="176">
        <v>0</v>
      </c>
      <c r="H92" s="176">
        <v>0</v>
      </c>
      <c r="I92" s="176">
        <v>0</v>
      </c>
      <c r="J92" s="176">
        <v>0</v>
      </c>
      <c r="K92" s="176">
        <v>0</v>
      </c>
      <c r="L92" s="30">
        <f t="shared" si="42"/>
        <v>0</v>
      </c>
      <c r="M92" s="176">
        <f t="shared" si="43"/>
        <v>0</v>
      </c>
      <c r="N92" s="226"/>
      <c r="O92" s="176">
        <v>0</v>
      </c>
      <c r="P92" s="176">
        <v>0</v>
      </c>
      <c r="Q92" s="176">
        <v>0</v>
      </c>
      <c r="R92" s="176">
        <v>0</v>
      </c>
      <c r="S92" s="176">
        <v>0</v>
      </c>
      <c r="T92" s="176">
        <v>0</v>
      </c>
      <c r="U92" s="176">
        <f t="shared" si="44"/>
        <v>0</v>
      </c>
      <c r="V92" s="176">
        <f t="shared" si="45"/>
        <v>0</v>
      </c>
      <c r="W92" s="226"/>
      <c r="X92" s="247"/>
      <c r="Y92" s="176">
        <v>0</v>
      </c>
      <c r="Z92" s="176">
        <v>0</v>
      </c>
      <c r="AA92" s="176">
        <v>0</v>
      </c>
      <c r="AB92" s="176">
        <v>0</v>
      </c>
      <c r="AC92" s="176">
        <v>0</v>
      </c>
      <c r="AD92" s="176">
        <f t="shared" si="46"/>
        <v>0</v>
      </c>
      <c r="AE92" s="247">
        <f t="shared" si="47"/>
        <v>0</v>
      </c>
      <c r="AF92" s="226"/>
      <c r="AG92" s="247">
        <v>0</v>
      </c>
      <c r="AH92" s="247">
        <v>0</v>
      </c>
      <c r="AI92" s="247">
        <v>0</v>
      </c>
      <c r="AJ92" s="226"/>
      <c r="AK92" s="247">
        <f t="shared" si="48"/>
        <v>0</v>
      </c>
      <c r="AL92" s="247">
        <f t="shared" si="49"/>
        <v>0</v>
      </c>
      <c r="AM92" s="247">
        <f t="shared" si="50"/>
        <v>0</v>
      </c>
      <c r="AN92" s="225"/>
      <c r="AO92" s="225">
        <v>0</v>
      </c>
      <c r="AP92" s="225">
        <v>0</v>
      </c>
      <c r="AQ92" s="225">
        <v>0</v>
      </c>
      <c r="AR92" s="225">
        <v>0</v>
      </c>
      <c r="AS92" s="225">
        <v>0</v>
      </c>
      <c r="AT92" s="225">
        <v>0</v>
      </c>
      <c r="AU92" s="225">
        <v>0</v>
      </c>
      <c r="AV92" s="225">
        <f t="shared" si="51"/>
        <v>0</v>
      </c>
      <c r="AX92" s="225">
        <f t="shared" si="52"/>
        <v>0</v>
      </c>
      <c r="AY92" s="225">
        <f t="shared" si="53"/>
        <v>0</v>
      </c>
      <c r="AZ92" s="225">
        <f t="shared" si="54"/>
        <v>0</v>
      </c>
      <c r="BA92" s="225">
        <f t="shared" si="55"/>
        <v>0</v>
      </c>
      <c r="BB92" s="225">
        <f t="shared" si="56"/>
        <v>0</v>
      </c>
      <c r="BC92" s="225">
        <f t="shared" si="57"/>
        <v>0</v>
      </c>
      <c r="BD92" s="225">
        <f t="shared" si="58"/>
        <v>0</v>
      </c>
      <c r="BE92" s="225">
        <f t="shared" si="59"/>
        <v>0</v>
      </c>
      <c r="BF92" s="225">
        <f t="shared" si="60"/>
        <v>0</v>
      </c>
      <c r="BG92" s="225">
        <f t="shared" si="33"/>
        <v>0</v>
      </c>
      <c r="BH92" s="225">
        <f t="shared" si="34"/>
        <v>0</v>
      </c>
      <c r="BI92" s="225">
        <f t="shared" si="35"/>
        <v>0</v>
      </c>
      <c r="BJ92" s="225">
        <f t="shared" si="36"/>
        <v>0</v>
      </c>
      <c r="BK92" s="225">
        <f t="shared" si="37"/>
        <v>0</v>
      </c>
      <c r="BL92" s="225">
        <f t="shared" si="38"/>
        <v>0</v>
      </c>
      <c r="BM92" s="225">
        <f t="shared" si="39"/>
        <v>0</v>
      </c>
      <c r="BN92" s="225">
        <f t="shared" si="61"/>
        <v>0</v>
      </c>
      <c r="BO92" s="225">
        <f t="shared" si="40"/>
        <v>0</v>
      </c>
      <c r="BP92" s="225"/>
      <c r="BQ92" s="225"/>
      <c r="BR92" s="225"/>
      <c r="BS92" s="225"/>
      <c r="BT92" s="225"/>
      <c r="BU92" s="225"/>
      <c r="BV92" s="225"/>
      <c r="BW92" s="225"/>
      <c r="BY92" s="176"/>
      <c r="BZ92" s="176"/>
      <c r="CA92" s="176"/>
      <c r="CB92" s="176"/>
      <c r="CC92" s="176"/>
      <c r="CD92" s="176"/>
      <c r="CE92" s="176"/>
      <c r="CF92" s="176"/>
      <c r="CH92" s="248"/>
      <c r="CI92" s="248"/>
      <c r="CJ92" s="248"/>
      <c r="CK92" s="248"/>
      <c r="CL92" s="248"/>
      <c r="CM92" s="248"/>
      <c r="CN92" s="248"/>
      <c r="CO92" s="248"/>
      <c r="CQ92" s="248"/>
      <c r="CR92" s="248"/>
      <c r="CS92" s="248"/>
      <c r="CT92" s="248"/>
      <c r="CU92" s="248"/>
      <c r="CV92" s="248"/>
      <c r="CW92" s="248"/>
      <c r="CX92" s="248"/>
      <c r="CY92" s="248"/>
      <c r="DA92" s="248"/>
      <c r="DB92" s="248"/>
      <c r="DC92" s="248"/>
      <c r="DD92" s="248"/>
      <c r="DE92" s="248"/>
      <c r="DF92" s="248"/>
      <c r="DG92" s="248"/>
      <c r="DH92" s="248"/>
      <c r="DJ92" s="179" t="e">
        <f>#REF!+((SUMIFS($F92:$AM92,$F$3:$AM$3,$DJ$7)*80%))+SUMIFS(#REF!,#REF!,$DJ$7)</f>
        <v>#REF!</v>
      </c>
      <c r="DK92" s="179">
        <f t="shared" si="41"/>
        <v>0</v>
      </c>
      <c r="DL92" s="173" t="e">
        <f t="shared" si="62"/>
        <v>#REF!</v>
      </c>
    </row>
    <row r="93" spans="1:116">
      <c r="A93" s="168">
        <v>3429</v>
      </c>
      <c r="B93" s="2">
        <v>139520</v>
      </c>
      <c r="C93" s="2" t="s">
        <v>295</v>
      </c>
      <c r="D93" s="30"/>
      <c r="E93" s="226"/>
      <c r="F93" s="176">
        <v>0</v>
      </c>
      <c r="G93" s="176">
        <v>0</v>
      </c>
      <c r="H93" s="176">
        <v>0</v>
      </c>
      <c r="I93" s="176">
        <v>0</v>
      </c>
      <c r="J93" s="176">
        <v>0</v>
      </c>
      <c r="K93" s="176">
        <v>0</v>
      </c>
      <c r="L93" s="30">
        <f t="shared" si="42"/>
        <v>0</v>
      </c>
      <c r="M93" s="176">
        <f t="shared" si="43"/>
        <v>0</v>
      </c>
      <c r="N93" s="226"/>
      <c r="O93" s="176">
        <v>0</v>
      </c>
      <c r="P93" s="176">
        <v>0</v>
      </c>
      <c r="Q93" s="176">
        <v>0</v>
      </c>
      <c r="R93" s="176">
        <v>0</v>
      </c>
      <c r="S93" s="176">
        <v>0</v>
      </c>
      <c r="T93" s="176">
        <v>0</v>
      </c>
      <c r="U93" s="176">
        <f t="shared" si="44"/>
        <v>0</v>
      </c>
      <c r="V93" s="176">
        <f t="shared" si="45"/>
        <v>0</v>
      </c>
      <c r="W93" s="226"/>
      <c r="X93" s="247"/>
      <c r="Y93" s="176">
        <v>0</v>
      </c>
      <c r="Z93" s="176">
        <v>0</v>
      </c>
      <c r="AA93" s="176">
        <v>0</v>
      </c>
      <c r="AB93" s="176">
        <v>0</v>
      </c>
      <c r="AC93" s="176">
        <v>0</v>
      </c>
      <c r="AD93" s="176">
        <f t="shared" si="46"/>
        <v>0</v>
      </c>
      <c r="AE93" s="247">
        <f t="shared" si="47"/>
        <v>0</v>
      </c>
      <c r="AF93" s="226"/>
      <c r="AG93" s="247">
        <v>0</v>
      </c>
      <c r="AH93" s="247">
        <v>0</v>
      </c>
      <c r="AI93" s="247">
        <v>0</v>
      </c>
      <c r="AJ93" s="226"/>
      <c r="AK93" s="247">
        <f t="shared" si="48"/>
        <v>0</v>
      </c>
      <c r="AL93" s="247">
        <f t="shared" si="49"/>
        <v>0</v>
      </c>
      <c r="AM93" s="247">
        <f t="shared" si="50"/>
        <v>0</v>
      </c>
      <c r="AN93" s="225"/>
      <c r="AO93" s="225">
        <v>0</v>
      </c>
      <c r="AP93" s="225">
        <v>0</v>
      </c>
      <c r="AQ93" s="225">
        <v>0</v>
      </c>
      <c r="AR93" s="225">
        <v>0</v>
      </c>
      <c r="AS93" s="225">
        <v>0</v>
      </c>
      <c r="AT93" s="225">
        <v>0</v>
      </c>
      <c r="AU93" s="225">
        <v>0</v>
      </c>
      <c r="AV93" s="225">
        <f t="shared" si="51"/>
        <v>0</v>
      </c>
      <c r="AX93" s="225">
        <f t="shared" si="52"/>
        <v>0</v>
      </c>
      <c r="AY93" s="225">
        <f t="shared" si="53"/>
        <v>0</v>
      </c>
      <c r="AZ93" s="225">
        <f t="shared" si="54"/>
        <v>0</v>
      </c>
      <c r="BA93" s="225">
        <f t="shared" si="55"/>
        <v>0</v>
      </c>
      <c r="BB93" s="225">
        <f t="shared" si="56"/>
        <v>0</v>
      </c>
      <c r="BC93" s="225">
        <f t="shared" si="57"/>
        <v>0</v>
      </c>
      <c r="BD93" s="225">
        <f t="shared" si="58"/>
        <v>0</v>
      </c>
      <c r="BE93" s="225">
        <f t="shared" si="59"/>
        <v>0</v>
      </c>
      <c r="BF93" s="225">
        <f t="shared" si="60"/>
        <v>0</v>
      </c>
      <c r="BG93" s="225">
        <f t="shared" si="33"/>
        <v>0</v>
      </c>
      <c r="BH93" s="225">
        <f t="shared" si="34"/>
        <v>0</v>
      </c>
      <c r="BI93" s="225">
        <f t="shared" si="35"/>
        <v>0</v>
      </c>
      <c r="BJ93" s="225">
        <f t="shared" si="36"/>
        <v>0</v>
      </c>
      <c r="BK93" s="225">
        <f t="shared" si="37"/>
        <v>0</v>
      </c>
      <c r="BL93" s="225">
        <f t="shared" si="38"/>
        <v>0</v>
      </c>
      <c r="BM93" s="225">
        <f t="shared" si="39"/>
        <v>0</v>
      </c>
      <c r="BN93" s="225">
        <f t="shared" si="61"/>
        <v>0</v>
      </c>
      <c r="BO93" s="225">
        <f t="shared" si="40"/>
        <v>0</v>
      </c>
      <c r="BP93" s="225"/>
      <c r="BQ93" s="225"/>
      <c r="BR93" s="225"/>
      <c r="BS93" s="225"/>
      <c r="BT93" s="225"/>
      <c r="BU93" s="225"/>
      <c r="BV93" s="225"/>
      <c r="BW93" s="225"/>
      <c r="BY93" s="176"/>
      <c r="BZ93" s="176"/>
      <c r="CA93" s="176"/>
      <c r="CB93" s="176"/>
      <c r="CC93" s="176"/>
      <c r="CD93" s="176"/>
      <c r="CE93" s="176"/>
      <c r="CF93" s="176"/>
      <c r="CH93" s="248"/>
      <c r="CI93" s="248"/>
      <c r="CJ93" s="248"/>
      <c r="CK93" s="248"/>
      <c r="CL93" s="248"/>
      <c r="CM93" s="248"/>
      <c r="CN93" s="248"/>
      <c r="CO93" s="248"/>
      <c r="CQ93" s="248"/>
      <c r="CR93" s="248"/>
      <c r="CS93" s="248"/>
      <c r="CT93" s="248"/>
      <c r="CU93" s="248"/>
      <c r="CV93" s="248"/>
      <c r="CW93" s="248"/>
      <c r="CX93" s="248"/>
      <c r="CY93" s="248"/>
      <c r="DA93" s="248"/>
      <c r="DB93" s="248"/>
      <c r="DC93" s="248"/>
      <c r="DD93" s="248"/>
      <c r="DE93" s="248"/>
      <c r="DF93" s="248"/>
      <c r="DG93" s="248"/>
      <c r="DH93" s="248"/>
      <c r="DJ93" s="179" t="e">
        <f>#REF!+((SUMIFS($F93:$AM93,$F$3:$AM$3,$DJ$7)*80%))+SUMIFS(#REF!,#REF!,$DJ$7)</f>
        <v>#REF!</v>
      </c>
      <c r="DK93" s="179">
        <f t="shared" si="41"/>
        <v>0</v>
      </c>
      <c r="DL93" s="173" t="e">
        <f t="shared" si="62"/>
        <v>#REF!</v>
      </c>
    </row>
    <row r="94" spans="1:116">
      <c r="A94" s="168">
        <v>4012</v>
      </c>
      <c r="B94" s="2">
        <v>137346</v>
      </c>
      <c r="C94" s="2" t="s">
        <v>296</v>
      </c>
      <c r="D94" s="30"/>
      <c r="E94" s="226"/>
      <c r="F94" s="176">
        <v>0</v>
      </c>
      <c r="G94" s="176">
        <v>0</v>
      </c>
      <c r="H94" s="176">
        <v>0</v>
      </c>
      <c r="I94" s="176">
        <v>0</v>
      </c>
      <c r="J94" s="176">
        <v>0</v>
      </c>
      <c r="K94" s="176">
        <v>0</v>
      </c>
      <c r="L94" s="30">
        <f t="shared" si="42"/>
        <v>0</v>
      </c>
      <c r="M94" s="176">
        <f t="shared" si="43"/>
        <v>0</v>
      </c>
      <c r="N94" s="226"/>
      <c r="O94" s="176">
        <v>0</v>
      </c>
      <c r="P94" s="176">
        <v>0</v>
      </c>
      <c r="Q94" s="176">
        <v>0</v>
      </c>
      <c r="R94" s="176">
        <v>0</v>
      </c>
      <c r="S94" s="176">
        <v>0</v>
      </c>
      <c r="T94" s="176">
        <v>0</v>
      </c>
      <c r="U94" s="176">
        <f t="shared" si="44"/>
        <v>0</v>
      </c>
      <c r="V94" s="176">
        <f t="shared" si="45"/>
        <v>0</v>
      </c>
      <c r="W94" s="226"/>
      <c r="X94" s="247"/>
      <c r="Y94" s="176">
        <v>0</v>
      </c>
      <c r="Z94" s="176">
        <v>0</v>
      </c>
      <c r="AA94" s="176">
        <v>0</v>
      </c>
      <c r="AB94" s="176">
        <v>0</v>
      </c>
      <c r="AC94" s="176">
        <v>0</v>
      </c>
      <c r="AD94" s="176">
        <f t="shared" si="46"/>
        <v>0</v>
      </c>
      <c r="AE94" s="247">
        <f t="shared" si="47"/>
        <v>0</v>
      </c>
      <c r="AF94" s="226"/>
      <c r="AG94" s="247">
        <v>0</v>
      </c>
      <c r="AH94" s="247">
        <v>0</v>
      </c>
      <c r="AI94" s="247">
        <v>0</v>
      </c>
      <c r="AJ94" s="226"/>
      <c r="AK94" s="247">
        <f t="shared" si="48"/>
        <v>0</v>
      </c>
      <c r="AL94" s="247">
        <f t="shared" si="49"/>
        <v>0</v>
      </c>
      <c r="AM94" s="247">
        <f t="shared" si="50"/>
        <v>0</v>
      </c>
      <c r="AN94" s="225"/>
      <c r="AO94" s="225">
        <v>0</v>
      </c>
      <c r="AP94" s="225">
        <v>0</v>
      </c>
      <c r="AQ94" s="225">
        <v>0</v>
      </c>
      <c r="AR94" s="225">
        <v>0</v>
      </c>
      <c r="AS94" s="225">
        <v>0</v>
      </c>
      <c r="AT94" s="225">
        <v>0</v>
      </c>
      <c r="AU94" s="225">
        <v>0</v>
      </c>
      <c r="AV94" s="225">
        <f t="shared" si="51"/>
        <v>0</v>
      </c>
      <c r="AX94" s="225">
        <f t="shared" si="52"/>
        <v>0</v>
      </c>
      <c r="AY94" s="225">
        <f t="shared" si="53"/>
        <v>0</v>
      </c>
      <c r="AZ94" s="225">
        <f t="shared" si="54"/>
        <v>0</v>
      </c>
      <c r="BA94" s="225">
        <f t="shared" si="55"/>
        <v>0</v>
      </c>
      <c r="BB94" s="225">
        <f t="shared" si="56"/>
        <v>0</v>
      </c>
      <c r="BC94" s="225">
        <f t="shared" si="57"/>
        <v>0</v>
      </c>
      <c r="BD94" s="225">
        <f t="shared" si="58"/>
        <v>0</v>
      </c>
      <c r="BE94" s="225">
        <f t="shared" si="59"/>
        <v>0</v>
      </c>
      <c r="BF94" s="225">
        <f t="shared" si="60"/>
        <v>0</v>
      </c>
      <c r="BG94" s="225">
        <f t="shared" si="33"/>
        <v>0</v>
      </c>
      <c r="BH94" s="225">
        <f t="shared" si="34"/>
        <v>0</v>
      </c>
      <c r="BI94" s="225">
        <f t="shared" si="35"/>
        <v>0</v>
      </c>
      <c r="BJ94" s="225">
        <f t="shared" si="36"/>
        <v>0</v>
      </c>
      <c r="BK94" s="225">
        <f t="shared" si="37"/>
        <v>0</v>
      </c>
      <c r="BL94" s="225">
        <f t="shared" si="38"/>
        <v>0</v>
      </c>
      <c r="BM94" s="225">
        <f t="shared" si="39"/>
        <v>0</v>
      </c>
      <c r="BN94" s="225">
        <f t="shared" si="61"/>
        <v>0</v>
      </c>
      <c r="BO94" s="225">
        <f t="shared" si="40"/>
        <v>0</v>
      </c>
      <c r="BP94" s="225"/>
      <c r="BQ94" s="225"/>
      <c r="BR94" s="225"/>
      <c r="BS94" s="225"/>
      <c r="BT94" s="225"/>
      <c r="BU94" s="225"/>
      <c r="BV94" s="225"/>
      <c r="BW94" s="225"/>
      <c r="BY94" s="176"/>
      <c r="BZ94" s="176"/>
      <c r="CA94" s="176"/>
      <c r="CB94" s="176"/>
      <c r="CC94" s="176"/>
      <c r="CD94" s="176"/>
      <c r="CE94" s="176"/>
      <c r="CF94" s="176"/>
      <c r="CH94" s="248"/>
      <c r="CI94" s="248"/>
      <c r="CJ94" s="248"/>
      <c r="CK94" s="248"/>
      <c r="CL94" s="248"/>
      <c r="CM94" s="248"/>
      <c r="CN94" s="248"/>
      <c r="CO94" s="248"/>
      <c r="CQ94" s="248"/>
      <c r="CR94" s="248"/>
      <c r="CS94" s="248"/>
      <c r="CT94" s="248"/>
      <c r="CU94" s="248"/>
      <c r="CV94" s="248"/>
      <c r="CW94" s="248"/>
      <c r="CX94" s="248"/>
      <c r="CY94" s="248"/>
      <c r="DA94" s="248"/>
      <c r="DB94" s="248"/>
      <c r="DC94" s="248"/>
      <c r="DD94" s="248"/>
      <c r="DE94" s="248"/>
      <c r="DF94" s="248"/>
      <c r="DG94" s="248"/>
      <c r="DH94" s="248"/>
      <c r="DJ94" s="179" t="e">
        <f>#REF!+((SUMIFS($F94:$AM94,$F$3:$AM$3,$DJ$7)*80%))+SUMIFS(#REF!,#REF!,$DJ$7)</f>
        <v>#REF!</v>
      </c>
      <c r="DK94" s="179">
        <f t="shared" si="41"/>
        <v>0</v>
      </c>
      <c r="DL94" s="173" t="e">
        <f t="shared" si="62"/>
        <v>#REF!</v>
      </c>
    </row>
    <row r="95" spans="1:116">
      <c r="A95" s="168">
        <v>2434</v>
      </c>
      <c r="B95" s="2">
        <v>141270</v>
      </c>
      <c r="C95" s="2" t="s">
        <v>297</v>
      </c>
      <c r="D95" s="30"/>
      <c r="E95" s="226"/>
      <c r="F95" s="176">
        <v>0</v>
      </c>
      <c r="G95" s="176">
        <v>0</v>
      </c>
      <c r="H95" s="176">
        <v>76155.3</v>
      </c>
      <c r="I95" s="176">
        <v>2340</v>
      </c>
      <c r="J95" s="176">
        <v>447.47368421052636</v>
      </c>
      <c r="K95" s="176">
        <v>0</v>
      </c>
      <c r="L95" s="30">
        <f t="shared" si="42"/>
        <v>78942.773684210522</v>
      </c>
      <c r="M95" s="176">
        <f t="shared" si="43"/>
        <v>63154.218947368419</v>
      </c>
      <c r="N95" s="226"/>
      <c r="O95" s="176">
        <v>0</v>
      </c>
      <c r="P95" s="176">
        <v>0</v>
      </c>
      <c r="Q95" s="176">
        <v>45251.700000000004</v>
      </c>
      <c r="R95" s="176">
        <v>2925</v>
      </c>
      <c r="S95" s="176">
        <v>596.63157894736844</v>
      </c>
      <c r="T95" s="176">
        <v>0</v>
      </c>
      <c r="U95" s="176">
        <f t="shared" si="44"/>
        <v>48773.331578947371</v>
      </c>
      <c r="V95" s="176">
        <f t="shared" si="45"/>
        <v>39018.665263157898</v>
      </c>
      <c r="W95" s="226"/>
      <c r="X95" s="247"/>
      <c r="Y95" s="176">
        <v>0</v>
      </c>
      <c r="Z95" s="176">
        <v>57589.010526315789</v>
      </c>
      <c r="AA95" s="176">
        <v>2160</v>
      </c>
      <c r="AB95" s="176">
        <v>543.49030470914124</v>
      </c>
      <c r="AC95" s="176">
        <v>0</v>
      </c>
      <c r="AD95" s="176">
        <f t="shared" si="46"/>
        <v>60292.500831024932</v>
      </c>
      <c r="AE95" s="247">
        <f t="shared" si="47"/>
        <v>48234.000664819949</v>
      </c>
      <c r="AF95" s="226"/>
      <c r="AG95" s="247">
        <v>2269.8000000000002</v>
      </c>
      <c r="AH95" s="247">
        <v>1283.0999999999999</v>
      </c>
      <c r="AI95" s="247">
        <v>1701.8526315789472</v>
      </c>
      <c r="AJ95" s="226"/>
      <c r="AK95" s="247">
        <f t="shared" si="48"/>
        <v>1815.8400000000001</v>
      </c>
      <c r="AL95" s="247">
        <f t="shared" si="49"/>
        <v>1026.48</v>
      </c>
      <c r="AM95" s="247">
        <f t="shared" si="50"/>
        <v>1361.4821052631578</v>
      </c>
      <c r="AN95" s="225"/>
      <c r="AO95" s="225">
        <v>0</v>
      </c>
      <c r="AP95" s="225">
        <v>0</v>
      </c>
      <c r="AQ95" s="225">
        <v>68429.399999999994</v>
      </c>
      <c r="AR95" s="225">
        <v>2535</v>
      </c>
      <c r="AS95" s="225">
        <v>969.52631578947376</v>
      </c>
      <c r="AT95" s="225">
        <v>0</v>
      </c>
      <c r="AU95" s="225">
        <v>1753.05</v>
      </c>
      <c r="AV95" s="225">
        <f t="shared" si="51"/>
        <v>73686.976315789478</v>
      </c>
      <c r="AX95" s="225">
        <f t="shared" si="52"/>
        <v>0</v>
      </c>
      <c r="AY95" s="225">
        <f t="shared" si="53"/>
        <v>0</v>
      </c>
      <c r="AZ95" s="225">
        <f t="shared" si="54"/>
        <v>-7725.9000000000087</v>
      </c>
      <c r="BA95" s="225">
        <f t="shared" si="55"/>
        <v>195</v>
      </c>
      <c r="BB95" s="225">
        <f t="shared" si="56"/>
        <v>522.0526315789474</v>
      </c>
      <c r="BC95" s="225">
        <f t="shared" si="57"/>
        <v>0</v>
      </c>
      <c r="BD95" s="225">
        <f t="shared" si="58"/>
        <v>-516.75000000000023</v>
      </c>
      <c r="BE95" s="225">
        <f t="shared" si="59"/>
        <v>-7525.5973684210612</v>
      </c>
      <c r="BF95" s="225">
        <f t="shared" si="60"/>
        <v>0</v>
      </c>
      <c r="BG95" s="225">
        <f t="shared" si="33"/>
        <v>0</v>
      </c>
      <c r="BH95" s="225">
        <f t="shared" si="34"/>
        <v>0</v>
      </c>
      <c r="BI95" s="225">
        <f t="shared" si="35"/>
        <v>7505.1599999999889</v>
      </c>
      <c r="BJ95" s="225">
        <f t="shared" si="36"/>
        <v>663</v>
      </c>
      <c r="BK95" s="225">
        <f t="shared" si="37"/>
        <v>611.54736842105262</v>
      </c>
      <c r="BL95" s="225">
        <f t="shared" si="38"/>
        <v>0</v>
      </c>
      <c r="BM95" s="225">
        <f t="shared" si="39"/>
        <v>-62.790000000000191</v>
      </c>
      <c r="BN95" s="225">
        <f t="shared" si="61"/>
        <v>8716.91736842104</v>
      </c>
      <c r="BO95" s="225">
        <f t="shared" si="40"/>
        <v>0</v>
      </c>
      <c r="BP95" s="225"/>
      <c r="BQ95" s="225"/>
      <c r="BR95" s="225"/>
      <c r="BS95" s="225"/>
      <c r="BT95" s="225"/>
      <c r="BU95" s="225"/>
      <c r="BV95" s="225"/>
      <c r="BW95" s="225"/>
      <c r="BY95" s="176"/>
      <c r="BZ95" s="176"/>
      <c r="CA95" s="176"/>
      <c r="CB95" s="176"/>
      <c r="CC95" s="176"/>
      <c r="CD95" s="176"/>
      <c r="CE95" s="176"/>
      <c r="CF95" s="176"/>
      <c r="CH95" s="248"/>
      <c r="CI95" s="248"/>
      <c r="CJ95" s="248"/>
      <c r="CK95" s="248"/>
      <c r="CL95" s="248"/>
      <c r="CM95" s="248"/>
      <c r="CN95" s="248"/>
      <c r="CO95" s="248"/>
      <c r="CQ95" s="248"/>
      <c r="CR95" s="248"/>
      <c r="CS95" s="248"/>
      <c r="CT95" s="248"/>
      <c r="CU95" s="248"/>
      <c r="CV95" s="248"/>
      <c r="CW95" s="248"/>
      <c r="CX95" s="248"/>
      <c r="CY95" s="248"/>
      <c r="DA95" s="248"/>
      <c r="DB95" s="248"/>
      <c r="DC95" s="248"/>
      <c r="DD95" s="248"/>
      <c r="DE95" s="248"/>
      <c r="DF95" s="248"/>
      <c r="DG95" s="248"/>
      <c r="DH95" s="248"/>
      <c r="DJ95" s="179" t="e">
        <f>#REF!+((SUMIFS($F95:$AM95,$F$3:$AM$3,$DJ$7)*80%))+SUMIFS(#REF!,#REF!,$DJ$7)</f>
        <v>#REF!</v>
      </c>
      <c r="DK95" s="179">
        <f t="shared" si="41"/>
        <v>0</v>
      </c>
      <c r="DL95" s="173" t="e">
        <f t="shared" si="62"/>
        <v>#REF!</v>
      </c>
    </row>
    <row r="96" spans="1:116">
      <c r="A96" s="168">
        <v>3430</v>
      </c>
      <c r="B96" s="2">
        <v>143869</v>
      </c>
      <c r="C96" s="2" t="s">
        <v>298</v>
      </c>
      <c r="D96" s="30"/>
      <c r="E96" s="226"/>
      <c r="F96" s="176">
        <v>0</v>
      </c>
      <c r="G96" s="176">
        <v>0</v>
      </c>
      <c r="H96" s="176">
        <v>0</v>
      </c>
      <c r="I96" s="176">
        <v>0</v>
      </c>
      <c r="J96" s="176">
        <v>0</v>
      </c>
      <c r="K96" s="176">
        <v>0</v>
      </c>
      <c r="L96" s="30">
        <f t="shared" si="42"/>
        <v>0</v>
      </c>
      <c r="M96" s="176">
        <f t="shared" si="43"/>
        <v>0</v>
      </c>
      <c r="N96" s="226"/>
      <c r="O96" s="176">
        <v>0</v>
      </c>
      <c r="P96" s="176">
        <v>0</v>
      </c>
      <c r="Q96" s="176">
        <v>0</v>
      </c>
      <c r="R96" s="176">
        <v>0</v>
      </c>
      <c r="S96" s="176">
        <v>0</v>
      </c>
      <c r="T96" s="176">
        <v>0</v>
      </c>
      <c r="U96" s="176">
        <f t="shared" si="44"/>
        <v>0</v>
      </c>
      <c r="V96" s="176">
        <f t="shared" si="45"/>
        <v>0</v>
      </c>
      <c r="W96" s="226"/>
      <c r="X96" s="247"/>
      <c r="Y96" s="176">
        <v>0</v>
      </c>
      <c r="Z96" s="176">
        <v>0</v>
      </c>
      <c r="AA96" s="176">
        <v>0</v>
      </c>
      <c r="AB96" s="176">
        <v>0</v>
      </c>
      <c r="AC96" s="176">
        <v>0</v>
      </c>
      <c r="AD96" s="176">
        <f t="shared" si="46"/>
        <v>0</v>
      </c>
      <c r="AE96" s="247">
        <f t="shared" si="47"/>
        <v>0</v>
      </c>
      <c r="AF96" s="226"/>
      <c r="AG96" s="247">
        <v>0</v>
      </c>
      <c r="AH96" s="247">
        <v>0</v>
      </c>
      <c r="AI96" s="247">
        <v>0</v>
      </c>
      <c r="AJ96" s="226"/>
      <c r="AK96" s="247">
        <f t="shared" si="48"/>
        <v>0</v>
      </c>
      <c r="AL96" s="247">
        <f t="shared" si="49"/>
        <v>0</v>
      </c>
      <c r="AM96" s="247">
        <f t="shared" si="50"/>
        <v>0</v>
      </c>
      <c r="AN96" s="225"/>
      <c r="AO96" s="225">
        <v>0</v>
      </c>
      <c r="AP96" s="225">
        <v>0</v>
      </c>
      <c r="AQ96" s="225">
        <v>0</v>
      </c>
      <c r="AR96" s="225">
        <v>0</v>
      </c>
      <c r="AS96" s="225">
        <v>0</v>
      </c>
      <c r="AT96" s="225">
        <v>0</v>
      </c>
      <c r="AU96" s="225">
        <v>0</v>
      </c>
      <c r="AV96" s="225">
        <f t="shared" si="51"/>
        <v>0</v>
      </c>
      <c r="AX96" s="225">
        <f t="shared" si="52"/>
        <v>0</v>
      </c>
      <c r="AY96" s="225">
        <f t="shared" si="53"/>
        <v>0</v>
      </c>
      <c r="AZ96" s="225">
        <f t="shared" si="54"/>
        <v>0</v>
      </c>
      <c r="BA96" s="225">
        <f t="shared" si="55"/>
        <v>0</v>
      </c>
      <c r="BB96" s="225">
        <f t="shared" si="56"/>
        <v>0</v>
      </c>
      <c r="BC96" s="225">
        <f t="shared" si="57"/>
        <v>0</v>
      </c>
      <c r="BD96" s="225">
        <f t="shared" si="58"/>
        <v>0</v>
      </c>
      <c r="BE96" s="225">
        <f t="shared" si="59"/>
        <v>0</v>
      </c>
      <c r="BF96" s="225">
        <f t="shared" si="60"/>
        <v>0</v>
      </c>
      <c r="BG96" s="225">
        <f t="shared" si="33"/>
        <v>0</v>
      </c>
      <c r="BH96" s="225">
        <f t="shared" si="34"/>
        <v>0</v>
      </c>
      <c r="BI96" s="225">
        <f t="shared" si="35"/>
        <v>0</v>
      </c>
      <c r="BJ96" s="225">
        <f t="shared" si="36"/>
        <v>0</v>
      </c>
      <c r="BK96" s="225">
        <f t="shared" si="37"/>
        <v>0</v>
      </c>
      <c r="BL96" s="225">
        <f t="shared" si="38"/>
        <v>0</v>
      </c>
      <c r="BM96" s="225">
        <f t="shared" si="39"/>
        <v>0</v>
      </c>
      <c r="BN96" s="225">
        <f t="shared" si="61"/>
        <v>0</v>
      </c>
      <c r="BO96" s="225">
        <f t="shared" si="40"/>
        <v>0</v>
      </c>
      <c r="BP96" s="225"/>
      <c r="BQ96" s="225"/>
      <c r="BR96" s="225"/>
      <c r="BS96" s="225"/>
      <c r="BT96" s="225"/>
      <c r="BU96" s="225"/>
      <c r="BV96" s="225"/>
      <c r="BW96" s="225"/>
      <c r="BY96" s="176"/>
      <c r="BZ96" s="176"/>
      <c r="CA96" s="176"/>
      <c r="CB96" s="176"/>
      <c r="CC96" s="176"/>
      <c r="CD96" s="176"/>
      <c r="CE96" s="176"/>
      <c r="CF96" s="176"/>
      <c r="CH96" s="248"/>
      <c r="CI96" s="248"/>
      <c r="CJ96" s="248"/>
      <c r="CK96" s="248"/>
      <c r="CL96" s="248"/>
      <c r="CM96" s="248"/>
      <c r="CN96" s="248"/>
      <c r="CO96" s="248"/>
      <c r="CQ96" s="248"/>
      <c r="CR96" s="248"/>
      <c r="CS96" s="248"/>
      <c r="CT96" s="248"/>
      <c r="CU96" s="248"/>
      <c r="CV96" s="248"/>
      <c r="CW96" s="248"/>
      <c r="CX96" s="248"/>
      <c r="CY96" s="248"/>
      <c r="DA96" s="248"/>
      <c r="DB96" s="248"/>
      <c r="DC96" s="248"/>
      <c r="DD96" s="248"/>
      <c r="DE96" s="248"/>
      <c r="DF96" s="248"/>
      <c r="DG96" s="248"/>
      <c r="DH96" s="248"/>
      <c r="DJ96" s="179" t="e">
        <f>#REF!+((SUMIFS($F96:$AM96,$F$3:$AM$3,$DJ$7)*80%))+SUMIFS(#REF!,#REF!,$DJ$7)</f>
        <v>#REF!</v>
      </c>
      <c r="DK96" s="179">
        <f t="shared" si="41"/>
        <v>0</v>
      </c>
      <c r="DL96" s="173" t="e">
        <f t="shared" si="62"/>
        <v>#REF!</v>
      </c>
    </row>
    <row r="97" spans="1:116">
      <c r="A97" s="168">
        <v>2429</v>
      </c>
      <c r="B97" s="2">
        <v>149305</v>
      </c>
      <c r="C97" s="2" t="s">
        <v>299</v>
      </c>
      <c r="D97" s="30"/>
      <c r="E97" s="226"/>
      <c r="F97" s="176">
        <v>0</v>
      </c>
      <c r="G97" s="176">
        <v>0</v>
      </c>
      <c r="H97" s="176">
        <v>50770.200000000004</v>
      </c>
      <c r="I97" s="176">
        <v>585</v>
      </c>
      <c r="J97" s="176">
        <v>223.73684210526318</v>
      </c>
      <c r="K97" s="176">
        <v>0</v>
      </c>
      <c r="L97" s="30">
        <f t="shared" si="42"/>
        <v>51578.936842105264</v>
      </c>
      <c r="M97" s="176">
        <f t="shared" si="43"/>
        <v>41263.149473684214</v>
      </c>
      <c r="N97" s="226"/>
      <c r="O97" s="176">
        <v>0</v>
      </c>
      <c r="P97" s="176">
        <v>0</v>
      </c>
      <c r="Q97" s="176">
        <v>43044.3</v>
      </c>
      <c r="R97" s="176">
        <v>390</v>
      </c>
      <c r="S97" s="176">
        <v>149.15789473684211</v>
      </c>
      <c r="T97" s="176">
        <v>0</v>
      </c>
      <c r="U97" s="176">
        <f t="shared" si="44"/>
        <v>43583.457894736843</v>
      </c>
      <c r="V97" s="176">
        <f t="shared" si="45"/>
        <v>34866.766315789479</v>
      </c>
      <c r="W97" s="226"/>
      <c r="X97" s="247"/>
      <c r="Y97" s="176">
        <v>0</v>
      </c>
      <c r="Z97" s="176">
        <v>41502.694736842102</v>
      </c>
      <c r="AA97" s="176">
        <v>795.78947368421041</v>
      </c>
      <c r="AB97" s="176">
        <v>173.91689750692518</v>
      </c>
      <c r="AC97" s="176">
        <v>0</v>
      </c>
      <c r="AD97" s="176">
        <f t="shared" si="46"/>
        <v>42472.401108033242</v>
      </c>
      <c r="AE97" s="247">
        <f t="shared" si="47"/>
        <v>33977.920886426597</v>
      </c>
      <c r="AF97" s="226"/>
      <c r="AG97" s="247">
        <v>134.55000000000001</v>
      </c>
      <c r="AH97" s="247">
        <v>15.6</v>
      </c>
      <c r="AI97" s="247">
        <v>82.989473684210537</v>
      </c>
      <c r="AJ97" s="226"/>
      <c r="AK97" s="247">
        <f t="shared" si="48"/>
        <v>107.64000000000001</v>
      </c>
      <c r="AL97" s="247">
        <f t="shared" si="49"/>
        <v>12.48</v>
      </c>
      <c r="AM97" s="247">
        <f t="shared" si="50"/>
        <v>66.39157894736843</v>
      </c>
      <c r="AN97" s="225"/>
      <c r="AO97" s="225">
        <v>0</v>
      </c>
      <c r="AP97" s="225">
        <v>0</v>
      </c>
      <c r="AQ97" s="225">
        <v>55185</v>
      </c>
      <c r="AR97" s="225">
        <v>1170</v>
      </c>
      <c r="AS97" s="225">
        <v>372.89473684210526</v>
      </c>
      <c r="AT97" s="225">
        <v>0</v>
      </c>
      <c r="AU97" s="225">
        <v>15.6</v>
      </c>
      <c r="AV97" s="225">
        <f t="shared" si="51"/>
        <v>56743.494736842105</v>
      </c>
      <c r="AX97" s="225">
        <f t="shared" si="52"/>
        <v>0</v>
      </c>
      <c r="AY97" s="225">
        <f t="shared" si="53"/>
        <v>0</v>
      </c>
      <c r="AZ97" s="225">
        <f t="shared" si="54"/>
        <v>4414.7999999999956</v>
      </c>
      <c r="BA97" s="225">
        <f t="shared" si="55"/>
        <v>585</v>
      </c>
      <c r="BB97" s="225">
        <f t="shared" si="56"/>
        <v>149.15789473684208</v>
      </c>
      <c r="BC97" s="225">
        <f t="shared" si="57"/>
        <v>0</v>
      </c>
      <c r="BD97" s="225">
        <f t="shared" si="58"/>
        <v>-118.95000000000002</v>
      </c>
      <c r="BE97" s="225">
        <f t="shared" si="59"/>
        <v>5030.0078947368374</v>
      </c>
      <c r="BF97" s="225">
        <f t="shared" si="60"/>
        <v>0</v>
      </c>
      <c r="BG97" s="225">
        <f t="shared" si="33"/>
        <v>0</v>
      </c>
      <c r="BH97" s="225">
        <f t="shared" si="34"/>
        <v>0</v>
      </c>
      <c r="BI97" s="225">
        <f t="shared" si="35"/>
        <v>14568.839999999997</v>
      </c>
      <c r="BJ97" s="225">
        <f t="shared" si="36"/>
        <v>702</v>
      </c>
      <c r="BK97" s="225">
        <f t="shared" si="37"/>
        <v>193.90526315789469</v>
      </c>
      <c r="BL97" s="225">
        <f t="shared" si="38"/>
        <v>0</v>
      </c>
      <c r="BM97" s="225">
        <f t="shared" si="39"/>
        <v>-92.04000000000002</v>
      </c>
      <c r="BN97" s="225">
        <f t="shared" si="61"/>
        <v>15372.70526315789</v>
      </c>
      <c r="BO97" s="225">
        <f t="shared" si="40"/>
        <v>0</v>
      </c>
      <c r="BP97" s="225"/>
      <c r="BQ97" s="225"/>
      <c r="BR97" s="225"/>
      <c r="BS97" s="225"/>
      <c r="BT97" s="225"/>
      <c r="BU97" s="225"/>
      <c r="BV97" s="225"/>
      <c r="BW97" s="225"/>
      <c r="BY97" s="176"/>
      <c r="BZ97" s="176"/>
      <c r="CA97" s="176"/>
      <c r="CB97" s="176"/>
      <c r="CC97" s="176"/>
      <c r="CD97" s="176"/>
      <c r="CE97" s="176"/>
      <c r="CF97" s="176"/>
      <c r="CH97" s="248"/>
      <c r="CI97" s="248"/>
      <c r="CJ97" s="248"/>
      <c r="CK97" s="248"/>
      <c r="CL97" s="248"/>
      <c r="CM97" s="248"/>
      <c r="CN97" s="248"/>
      <c r="CO97" s="248"/>
      <c r="CQ97" s="248"/>
      <c r="CR97" s="248"/>
      <c r="CS97" s="248"/>
      <c r="CT97" s="248"/>
      <c r="CU97" s="248"/>
      <c r="CV97" s="248"/>
      <c r="CW97" s="248"/>
      <c r="CX97" s="248"/>
      <c r="CY97" s="248"/>
      <c r="DA97" s="248"/>
      <c r="DB97" s="248"/>
      <c r="DC97" s="248"/>
      <c r="DD97" s="248"/>
      <c r="DE97" s="248"/>
      <c r="DF97" s="248"/>
      <c r="DG97" s="248"/>
      <c r="DH97" s="248"/>
      <c r="DJ97" s="179" t="e">
        <f>#REF!+((SUMIFS($F97:$AM97,$F$3:$AM$3,$DJ$7)*80%))+SUMIFS(#REF!,#REF!,$DJ$7)</f>
        <v>#REF!</v>
      </c>
      <c r="DK97" s="179">
        <f t="shared" si="41"/>
        <v>0</v>
      </c>
      <c r="DL97" s="173" t="e">
        <f t="shared" si="62"/>
        <v>#REF!</v>
      </c>
    </row>
    <row r="98" spans="1:116">
      <c r="A98" s="168">
        <v>2288</v>
      </c>
      <c r="B98" s="2">
        <v>149607</v>
      </c>
      <c r="C98" s="2" t="s">
        <v>300</v>
      </c>
      <c r="D98" s="30"/>
      <c r="E98" s="226"/>
      <c r="F98" s="176">
        <v>0</v>
      </c>
      <c r="G98" s="176">
        <v>0</v>
      </c>
      <c r="H98" s="176">
        <v>0</v>
      </c>
      <c r="I98" s="176">
        <v>0</v>
      </c>
      <c r="J98" s="176">
        <v>0</v>
      </c>
      <c r="K98" s="176">
        <v>0</v>
      </c>
      <c r="L98" s="30">
        <f t="shared" si="42"/>
        <v>0</v>
      </c>
      <c r="M98" s="176">
        <f t="shared" si="43"/>
        <v>0</v>
      </c>
      <c r="N98" s="226"/>
      <c r="O98" s="176">
        <v>0</v>
      </c>
      <c r="P98" s="176">
        <v>0</v>
      </c>
      <c r="Q98" s="176">
        <v>0</v>
      </c>
      <c r="R98" s="176">
        <v>0</v>
      </c>
      <c r="S98" s="176">
        <v>0</v>
      </c>
      <c r="T98" s="176">
        <v>0</v>
      </c>
      <c r="U98" s="176">
        <f t="shared" si="44"/>
        <v>0</v>
      </c>
      <c r="V98" s="176">
        <f t="shared" si="45"/>
        <v>0</v>
      </c>
      <c r="W98" s="226"/>
      <c r="X98" s="247"/>
      <c r="Y98" s="176">
        <v>0</v>
      </c>
      <c r="Z98" s="176">
        <v>0</v>
      </c>
      <c r="AA98" s="176">
        <v>0</v>
      </c>
      <c r="AB98" s="176">
        <v>0</v>
      </c>
      <c r="AC98" s="176">
        <v>0</v>
      </c>
      <c r="AD98" s="176">
        <f t="shared" si="46"/>
        <v>0</v>
      </c>
      <c r="AE98" s="247">
        <f t="shared" si="47"/>
        <v>0</v>
      </c>
      <c r="AF98" s="226"/>
      <c r="AG98" s="247">
        <v>0</v>
      </c>
      <c r="AH98" s="247">
        <v>0</v>
      </c>
      <c r="AI98" s="247">
        <v>0</v>
      </c>
      <c r="AJ98" s="226"/>
      <c r="AK98" s="247">
        <f t="shared" si="48"/>
        <v>0</v>
      </c>
      <c r="AL98" s="247">
        <f t="shared" si="49"/>
        <v>0</v>
      </c>
      <c r="AM98" s="247">
        <f t="shared" si="50"/>
        <v>0</v>
      </c>
      <c r="AN98" s="225"/>
      <c r="AO98" s="225">
        <v>0</v>
      </c>
      <c r="AP98" s="225">
        <v>0</v>
      </c>
      <c r="AQ98" s="225">
        <v>0</v>
      </c>
      <c r="AR98" s="225">
        <v>0</v>
      </c>
      <c r="AS98" s="225">
        <v>0</v>
      </c>
      <c r="AT98" s="225">
        <v>0</v>
      </c>
      <c r="AU98" s="225">
        <v>0</v>
      </c>
      <c r="AV98" s="225">
        <f t="shared" si="51"/>
        <v>0</v>
      </c>
      <c r="AX98" s="225">
        <f t="shared" si="52"/>
        <v>0</v>
      </c>
      <c r="AY98" s="225">
        <f t="shared" si="53"/>
        <v>0</v>
      </c>
      <c r="AZ98" s="225">
        <f t="shared" si="54"/>
        <v>0</v>
      </c>
      <c r="BA98" s="225">
        <f t="shared" si="55"/>
        <v>0</v>
      </c>
      <c r="BB98" s="225">
        <f t="shared" si="56"/>
        <v>0</v>
      </c>
      <c r="BC98" s="225">
        <f t="shared" si="57"/>
        <v>0</v>
      </c>
      <c r="BD98" s="225">
        <f t="shared" si="58"/>
        <v>0</v>
      </c>
      <c r="BE98" s="225">
        <f t="shared" si="59"/>
        <v>0</v>
      </c>
      <c r="BF98" s="225">
        <f t="shared" si="60"/>
        <v>0</v>
      </c>
      <c r="BG98" s="225">
        <f t="shared" si="33"/>
        <v>0</v>
      </c>
      <c r="BH98" s="225">
        <f t="shared" si="34"/>
        <v>0</v>
      </c>
      <c r="BI98" s="225">
        <f t="shared" si="35"/>
        <v>0</v>
      </c>
      <c r="BJ98" s="225">
        <f t="shared" si="36"/>
        <v>0</v>
      </c>
      <c r="BK98" s="225">
        <f t="shared" si="37"/>
        <v>0</v>
      </c>
      <c r="BL98" s="225">
        <f t="shared" si="38"/>
        <v>0</v>
      </c>
      <c r="BM98" s="225">
        <f t="shared" si="39"/>
        <v>0</v>
      </c>
      <c r="BN98" s="225">
        <f t="shared" si="61"/>
        <v>0</v>
      </c>
      <c r="BO98" s="225">
        <f t="shared" si="40"/>
        <v>0</v>
      </c>
      <c r="BP98" s="225"/>
      <c r="BQ98" s="225"/>
      <c r="BR98" s="225"/>
      <c r="BS98" s="225"/>
      <c r="BT98" s="225"/>
      <c r="BU98" s="225"/>
      <c r="BV98" s="225"/>
      <c r="BW98" s="225"/>
      <c r="BY98" s="176"/>
      <c r="BZ98" s="176"/>
      <c r="CA98" s="176"/>
      <c r="CB98" s="176"/>
      <c r="CC98" s="176"/>
      <c r="CD98" s="176"/>
      <c r="CE98" s="176"/>
      <c r="CF98" s="176"/>
      <c r="CH98" s="248"/>
      <c r="CI98" s="248"/>
      <c r="CJ98" s="248"/>
      <c r="CK98" s="248"/>
      <c r="CL98" s="248"/>
      <c r="CM98" s="248"/>
      <c r="CN98" s="248"/>
      <c r="CO98" s="248"/>
      <c r="CQ98" s="248"/>
      <c r="CR98" s="248"/>
      <c r="CS98" s="248"/>
      <c r="CT98" s="248"/>
      <c r="CU98" s="248"/>
      <c r="CV98" s="248"/>
      <c r="CW98" s="248"/>
      <c r="CX98" s="248"/>
      <c r="CY98" s="248"/>
      <c r="DA98" s="248"/>
      <c r="DB98" s="248"/>
      <c r="DC98" s="248"/>
      <c r="DD98" s="248"/>
      <c r="DE98" s="248"/>
      <c r="DF98" s="248"/>
      <c r="DG98" s="248"/>
      <c r="DH98" s="248"/>
      <c r="DJ98" s="179" t="e">
        <f>#REF!+((SUMIFS($F98:$AM98,$F$3:$AM$3,$DJ$7)*80%))+SUMIFS(#REF!,#REF!,$DJ$7)</f>
        <v>#REF!</v>
      </c>
      <c r="DK98" s="179">
        <f t="shared" si="41"/>
        <v>0</v>
      </c>
      <c r="DL98" s="173" t="e">
        <f t="shared" si="62"/>
        <v>#REF!</v>
      </c>
    </row>
    <row r="99" spans="1:116">
      <c r="A99" s="168">
        <v>3402</v>
      </c>
      <c r="B99" s="2">
        <v>140525</v>
      </c>
      <c r="C99" s="2" t="s">
        <v>301</v>
      </c>
      <c r="D99" s="30"/>
      <c r="E99" s="226"/>
      <c r="F99" s="176">
        <v>0</v>
      </c>
      <c r="G99" s="176">
        <v>0</v>
      </c>
      <c r="H99" s="176">
        <v>0</v>
      </c>
      <c r="I99" s="176">
        <v>0</v>
      </c>
      <c r="J99" s="176">
        <v>0</v>
      </c>
      <c r="K99" s="176">
        <v>0</v>
      </c>
      <c r="L99" s="30">
        <f t="shared" si="42"/>
        <v>0</v>
      </c>
      <c r="M99" s="176">
        <f t="shared" si="43"/>
        <v>0</v>
      </c>
      <c r="N99" s="226"/>
      <c r="O99" s="176">
        <v>0</v>
      </c>
      <c r="P99" s="176">
        <v>0</v>
      </c>
      <c r="Q99" s="176">
        <v>0</v>
      </c>
      <c r="R99" s="176">
        <v>0</v>
      </c>
      <c r="S99" s="176">
        <v>0</v>
      </c>
      <c r="T99" s="176">
        <v>0</v>
      </c>
      <c r="U99" s="176">
        <f t="shared" si="44"/>
        <v>0</v>
      </c>
      <c r="V99" s="176">
        <f t="shared" si="45"/>
        <v>0</v>
      </c>
      <c r="W99" s="226"/>
      <c r="X99" s="247"/>
      <c r="Y99" s="176">
        <v>0</v>
      </c>
      <c r="Z99" s="176">
        <v>0</v>
      </c>
      <c r="AA99" s="176">
        <v>0</v>
      </c>
      <c r="AB99" s="176">
        <v>0</v>
      </c>
      <c r="AC99" s="176">
        <v>0</v>
      </c>
      <c r="AD99" s="176">
        <f t="shared" si="46"/>
        <v>0</v>
      </c>
      <c r="AE99" s="247">
        <f t="shared" si="47"/>
        <v>0</v>
      </c>
      <c r="AF99" s="226"/>
      <c r="AG99" s="247">
        <v>0</v>
      </c>
      <c r="AH99" s="247">
        <v>0</v>
      </c>
      <c r="AI99" s="247">
        <v>0</v>
      </c>
      <c r="AJ99" s="226"/>
      <c r="AK99" s="247">
        <f t="shared" si="48"/>
        <v>0</v>
      </c>
      <c r="AL99" s="247">
        <f t="shared" si="49"/>
        <v>0</v>
      </c>
      <c r="AM99" s="247">
        <f t="shared" si="50"/>
        <v>0</v>
      </c>
      <c r="AN99" s="225"/>
      <c r="AO99" s="225">
        <v>0</v>
      </c>
      <c r="AP99" s="225">
        <v>0</v>
      </c>
      <c r="AQ99" s="225">
        <v>0</v>
      </c>
      <c r="AR99" s="225">
        <v>0</v>
      </c>
      <c r="AS99" s="225">
        <v>0</v>
      </c>
      <c r="AT99" s="225">
        <v>0</v>
      </c>
      <c r="AU99" s="225">
        <v>0</v>
      </c>
      <c r="AV99" s="225">
        <f t="shared" si="51"/>
        <v>0</v>
      </c>
      <c r="AX99" s="225">
        <f t="shared" si="52"/>
        <v>0</v>
      </c>
      <c r="AY99" s="225">
        <f t="shared" si="53"/>
        <v>0</v>
      </c>
      <c r="AZ99" s="225">
        <f t="shared" si="54"/>
        <v>0</v>
      </c>
      <c r="BA99" s="225">
        <f t="shared" si="55"/>
        <v>0</v>
      </c>
      <c r="BB99" s="225">
        <f t="shared" si="56"/>
        <v>0</v>
      </c>
      <c r="BC99" s="225">
        <f t="shared" si="57"/>
        <v>0</v>
      </c>
      <c r="BD99" s="225">
        <f t="shared" si="58"/>
        <v>0</v>
      </c>
      <c r="BE99" s="225">
        <f t="shared" si="59"/>
        <v>0</v>
      </c>
      <c r="BF99" s="225">
        <f t="shared" si="60"/>
        <v>0</v>
      </c>
      <c r="BG99" s="225">
        <f t="shared" si="33"/>
        <v>0</v>
      </c>
      <c r="BH99" s="225">
        <f t="shared" si="34"/>
        <v>0</v>
      </c>
      <c r="BI99" s="225">
        <f t="shared" si="35"/>
        <v>0</v>
      </c>
      <c r="BJ99" s="225">
        <f t="shared" si="36"/>
        <v>0</v>
      </c>
      <c r="BK99" s="225">
        <f t="shared" si="37"/>
        <v>0</v>
      </c>
      <c r="BL99" s="225">
        <f t="shared" si="38"/>
        <v>0</v>
      </c>
      <c r="BM99" s="225">
        <f t="shared" si="39"/>
        <v>0</v>
      </c>
      <c r="BN99" s="225">
        <f t="shared" si="61"/>
        <v>0</v>
      </c>
      <c r="BO99" s="225">
        <f t="shared" si="40"/>
        <v>0</v>
      </c>
      <c r="BP99" s="225"/>
      <c r="BQ99" s="225"/>
      <c r="BR99" s="225"/>
      <c r="BS99" s="225"/>
      <c r="BT99" s="225"/>
      <c r="BU99" s="225"/>
      <c r="BV99" s="225"/>
      <c r="BW99" s="225"/>
      <c r="BY99" s="176"/>
      <c r="BZ99" s="176"/>
      <c r="CA99" s="176"/>
      <c r="CB99" s="176"/>
      <c r="CC99" s="176"/>
      <c r="CD99" s="176"/>
      <c r="CE99" s="176"/>
      <c r="CF99" s="176"/>
      <c r="CH99" s="248"/>
      <c r="CI99" s="248"/>
      <c r="CJ99" s="248"/>
      <c r="CK99" s="248"/>
      <c r="CL99" s="248"/>
      <c r="CM99" s="248"/>
      <c r="CN99" s="248"/>
      <c r="CO99" s="248"/>
      <c r="CQ99" s="248"/>
      <c r="CR99" s="248"/>
      <c r="CS99" s="248"/>
      <c r="CT99" s="248"/>
      <c r="CU99" s="248"/>
      <c r="CV99" s="248"/>
      <c r="CW99" s="248"/>
      <c r="CX99" s="248"/>
      <c r="CY99" s="248"/>
      <c r="DA99" s="248"/>
      <c r="DB99" s="248"/>
      <c r="DC99" s="248"/>
      <c r="DD99" s="248"/>
      <c r="DE99" s="248"/>
      <c r="DF99" s="248"/>
      <c r="DG99" s="248"/>
      <c r="DH99" s="248"/>
      <c r="DJ99" s="179" t="e">
        <f>#REF!+((SUMIFS($F99:$AM99,$F$3:$AM$3,$DJ$7)*80%))+SUMIFS(#REF!,#REF!,$DJ$7)</f>
        <v>#REF!</v>
      </c>
      <c r="DK99" s="179">
        <f t="shared" si="41"/>
        <v>0</v>
      </c>
      <c r="DL99" s="173" t="e">
        <f t="shared" si="62"/>
        <v>#REF!</v>
      </c>
    </row>
    <row r="100" spans="1:116">
      <c r="A100" s="168">
        <v>2199</v>
      </c>
      <c r="B100" s="2">
        <v>147009</v>
      </c>
      <c r="C100" s="2" t="s">
        <v>302</v>
      </c>
      <c r="D100" s="30"/>
      <c r="E100" s="226"/>
      <c r="F100" s="176">
        <v>0</v>
      </c>
      <c r="G100" s="176">
        <v>0</v>
      </c>
      <c r="H100" s="176">
        <v>0</v>
      </c>
      <c r="I100" s="176">
        <v>0</v>
      </c>
      <c r="J100" s="176">
        <v>0</v>
      </c>
      <c r="K100" s="176">
        <v>0</v>
      </c>
      <c r="L100" s="30">
        <f t="shared" si="42"/>
        <v>0</v>
      </c>
      <c r="M100" s="176">
        <f t="shared" si="43"/>
        <v>0</v>
      </c>
      <c r="N100" s="226"/>
      <c r="O100" s="176">
        <v>0</v>
      </c>
      <c r="P100" s="176">
        <v>0</v>
      </c>
      <c r="Q100" s="176">
        <v>0</v>
      </c>
      <c r="R100" s="176">
        <v>0</v>
      </c>
      <c r="S100" s="176">
        <v>0</v>
      </c>
      <c r="T100" s="176">
        <v>0</v>
      </c>
      <c r="U100" s="176">
        <f t="shared" si="44"/>
        <v>0</v>
      </c>
      <c r="V100" s="176">
        <f t="shared" si="45"/>
        <v>0</v>
      </c>
      <c r="W100" s="226"/>
      <c r="X100" s="247"/>
      <c r="Y100" s="176">
        <v>0</v>
      </c>
      <c r="Z100" s="176">
        <v>0</v>
      </c>
      <c r="AA100" s="176">
        <v>0</v>
      </c>
      <c r="AB100" s="176">
        <v>0</v>
      </c>
      <c r="AC100" s="176">
        <v>0</v>
      </c>
      <c r="AD100" s="176">
        <f t="shared" si="46"/>
        <v>0</v>
      </c>
      <c r="AE100" s="247">
        <f t="shared" si="47"/>
        <v>0</v>
      </c>
      <c r="AF100" s="226"/>
      <c r="AG100" s="247">
        <v>0</v>
      </c>
      <c r="AH100" s="247">
        <v>0</v>
      </c>
      <c r="AI100" s="247">
        <v>0</v>
      </c>
      <c r="AJ100" s="226"/>
      <c r="AK100" s="247">
        <f t="shared" si="48"/>
        <v>0</v>
      </c>
      <c r="AL100" s="247">
        <f t="shared" si="49"/>
        <v>0</v>
      </c>
      <c r="AM100" s="247">
        <f t="shared" si="50"/>
        <v>0</v>
      </c>
      <c r="AN100" s="225"/>
      <c r="AO100" s="225">
        <v>0</v>
      </c>
      <c r="AP100" s="225">
        <v>0</v>
      </c>
      <c r="AQ100" s="225">
        <v>0</v>
      </c>
      <c r="AR100" s="225">
        <v>0</v>
      </c>
      <c r="AS100" s="225">
        <v>0</v>
      </c>
      <c r="AT100" s="225">
        <v>0</v>
      </c>
      <c r="AU100" s="225">
        <v>0</v>
      </c>
      <c r="AV100" s="225">
        <f t="shared" si="51"/>
        <v>0</v>
      </c>
      <c r="AX100" s="225">
        <f t="shared" si="52"/>
        <v>0</v>
      </c>
      <c r="AY100" s="225">
        <f t="shared" si="53"/>
        <v>0</v>
      </c>
      <c r="AZ100" s="225">
        <f t="shared" si="54"/>
        <v>0</v>
      </c>
      <c r="BA100" s="225">
        <f t="shared" si="55"/>
        <v>0</v>
      </c>
      <c r="BB100" s="225">
        <f t="shared" si="56"/>
        <v>0</v>
      </c>
      <c r="BC100" s="225">
        <f t="shared" si="57"/>
        <v>0</v>
      </c>
      <c r="BD100" s="225">
        <f t="shared" si="58"/>
        <v>0</v>
      </c>
      <c r="BE100" s="225">
        <f t="shared" si="59"/>
        <v>0</v>
      </c>
      <c r="BF100" s="225">
        <f t="shared" si="60"/>
        <v>0</v>
      </c>
      <c r="BG100" s="225">
        <f t="shared" si="33"/>
        <v>0</v>
      </c>
      <c r="BH100" s="225">
        <f t="shared" si="34"/>
        <v>0</v>
      </c>
      <c r="BI100" s="225">
        <f t="shared" si="35"/>
        <v>0</v>
      </c>
      <c r="BJ100" s="225">
        <f t="shared" si="36"/>
        <v>0</v>
      </c>
      <c r="BK100" s="225">
        <f t="shared" si="37"/>
        <v>0</v>
      </c>
      <c r="BL100" s="225">
        <f t="shared" si="38"/>
        <v>0</v>
      </c>
      <c r="BM100" s="225">
        <f t="shared" si="39"/>
        <v>0</v>
      </c>
      <c r="BN100" s="225">
        <f t="shared" si="61"/>
        <v>0</v>
      </c>
      <c r="BO100" s="225">
        <f t="shared" si="40"/>
        <v>0</v>
      </c>
      <c r="BP100" s="225"/>
      <c r="BQ100" s="225"/>
      <c r="BR100" s="225"/>
      <c r="BS100" s="225"/>
      <c r="BT100" s="225"/>
      <c r="BU100" s="225"/>
      <c r="BV100" s="225"/>
      <c r="BW100" s="225"/>
      <c r="BY100" s="176"/>
      <c r="BZ100" s="176"/>
      <c r="CA100" s="176"/>
      <c r="CB100" s="176"/>
      <c r="CC100" s="176"/>
      <c r="CD100" s="176"/>
      <c r="CE100" s="176"/>
      <c r="CF100" s="176"/>
      <c r="CH100" s="248"/>
      <c r="CI100" s="248"/>
      <c r="CJ100" s="248"/>
      <c r="CK100" s="248"/>
      <c r="CL100" s="248"/>
      <c r="CM100" s="248"/>
      <c r="CN100" s="248"/>
      <c r="CO100" s="248"/>
      <c r="CQ100" s="248"/>
      <c r="CR100" s="248"/>
      <c r="CS100" s="248"/>
      <c r="CT100" s="248"/>
      <c r="CU100" s="248"/>
      <c r="CV100" s="248"/>
      <c r="CW100" s="248"/>
      <c r="CX100" s="248"/>
      <c r="CY100" s="248"/>
      <c r="DA100" s="248"/>
      <c r="DB100" s="248"/>
      <c r="DC100" s="248"/>
      <c r="DD100" s="248"/>
      <c r="DE100" s="248"/>
      <c r="DF100" s="248"/>
      <c r="DG100" s="248"/>
      <c r="DH100" s="248"/>
      <c r="DJ100" s="179" t="e">
        <f>#REF!+((SUMIFS($F100:$AM100,$F$3:$AM$3,$DJ$7)*80%))+SUMIFS(#REF!,#REF!,$DJ$7)</f>
        <v>#REF!</v>
      </c>
      <c r="DK100" s="179">
        <f t="shared" si="41"/>
        <v>0</v>
      </c>
      <c r="DL100" s="173" t="e">
        <f t="shared" si="62"/>
        <v>#REF!</v>
      </c>
    </row>
    <row r="101" spans="1:116">
      <c r="A101" s="168">
        <v>4026</v>
      </c>
      <c r="B101" s="2">
        <v>144719</v>
      </c>
      <c r="C101" s="2" t="s">
        <v>303</v>
      </c>
      <c r="D101" s="30"/>
      <c r="E101" s="226"/>
      <c r="F101" s="176">
        <v>0</v>
      </c>
      <c r="G101" s="176">
        <v>0</v>
      </c>
      <c r="H101" s="176">
        <v>0</v>
      </c>
      <c r="I101" s="176">
        <v>0</v>
      </c>
      <c r="J101" s="176">
        <v>0</v>
      </c>
      <c r="K101" s="176">
        <v>0</v>
      </c>
      <c r="L101" s="30">
        <f t="shared" si="42"/>
        <v>0</v>
      </c>
      <c r="M101" s="176">
        <f t="shared" si="43"/>
        <v>0</v>
      </c>
      <c r="N101" s="226"/>
      <c r="O101" s="176">
        <v>0</v>
      </c>
      <c r="P101" s="176">
        <v>0</v>
      </c>
      <c r="Q101" s="176">
        <v>0</v>
      </c>
      <c r="R101" s="176">
        <v>0</v>
      </c>
      <c r="S101" s="176">
        <v>0</v>
      </c>
      <c r="T101" s="176">
        <v>0</v>
      </c>
      <c r="U101" s="176">
        <f t="shared" si="44"/>
        <v>0</v>
      </c>
      <c r="V101" s="176">
        <f t="shared" si="45"/>
        <v>0</v>
      </c>
      <c r="W101" s="226"/>
      <c r="X101" s="247"/>
      <c r="Y101" s="176">
        <v>0</v>
      </c>
      <c r="Z101" s="176">
        <v>0</v>
      </c>
      <c r="AA101" s="176">
        <v>0</v>
      </c>
      <c r="AB101" s="176">
        <v>0</v>
      </c>
      <c r="AC101" s="176">
        <v>0</v>
      </c>
      <c r="AD101" s="176">
        <f t="shared" si="46"/>
        <v>0</v>
      </c>
      <c r="AE101" s="247">
        <f t="shared" si="47"/>
        <v>0</v>
      </c>
      <c r="AF101" s="226"/>
      <c r="AG101" s="247">
        <v>0</v>
      </c>
      <c r="AH101" s="247">
        <v>0</v>
      </c>
      <c r="AI101" s="247">
        <v>0</v>
      </c>
      <c r="AJ101" s="226"/>
      <c r="AK101" s="247">
        <f t="shared" si="48"/>
        <v>0</v>
      </c>
      <c r="AL101" s="247">
        <f t="shared" si="49"/>
        <v>0</v>
      </c>
      <c r="AM101" s="247">
        <f t="shared" si="50"/>
        <v>0</v>
      </c>
      <c r="AN101" s="225"/>
      <c r="AO101" s="225">
        <v>0</v>
      </c>
      <c r="AP101" s="225">
        <v>0</v>
      </c>
      <c r="AQ101" s="225">
        <v>0</v>
      </c>
      <c r="AR101" s="225">
        <v>0</v>
      </c>
      <c r="AS101" s="225">
        <v>0</v>
      </c>
      <c r="AT101" s="225">
        <v>0</v>
      </c>
      <c r="AU101" s="225">
        <v>0</v>
      </c>
      <c r="AV101" s="225">
        <f t="shared" si="51"/>
        <v>0</v>
      </c>
      <c r="AX101" s="225">
        <f t="shared" si="52"/>
        <v>0</v>
      </c>
      <c r="AY101" s="225">
        <f t="shared" si="53"/>
        <v>0</v>
      </c>
      <c r="AZ101" s="225">
        <f t="shared" si="54"/>
        <v>0</v>
      </c>
      <c r="BA101" s="225">
        <f t="shared" si="55"/>
        <v>0</v>
      </c>
      <c r="BB101" s="225">
        <f t="shared" si="56"/>
        <v>0</v>
      </c>
      <c r="BC101" s="225">
        <f t="shared" si="57"/>
        <v>0</v>
      </c>
      <c r="BD101" s="225">
        <f t="shared" si="58"/>
        <v>0</v>
      </c>
      <c r="BE101" s="225">
        <f t="shared" si="59"/>
        <v>0</v>
      </c>
      <c r="BF101" s="225">
        <f t="shared" si="60"/>
        <v>0</v>
      </c>
      <c r="BG101" s="225">
        <f t="shared" si="33"/>
        <v>0</v>
      </c>
      <c r="BH101" s="225">
        <f t="shared" si="34"/>
        <v>0</v>
      </c>
      <c r="BI101" s="225">
        <f t="shared" si="35"/>
        <v>0</v>
      </c>
      <c r="BJ101" s="225">
        <f t="shared" si="36"/>
        <v>0</v>
      </c>
      <c r="BK101" s="225">
        <f t="shared" si="37"/>
        <v>0</v>
      </c>
      <c r="BL101" s="225">
        <f t="shared" si="38"/>
        <v>0</v>
      </c>
      <c r="BM101" s="225">
        <f t="shared" si="39"/>
        <v>0</v>
      </c>
      <c r="BN101" s="225">
        <f t="shared" si="61"/>
        <v>0</v>
      </c>
      <c r="BO101" s="225">
        <f t="shared" si="40"/>
        <v>0</v>
      </c>
      <c r="BP101" s="225"/>
      <c r="BQ101" s="225"/>
      <c r="BR101" s="225"/>
      <c r="BS101" s="225"/>
      <c r="BT101" s="225"/>
      <c r="BU101" s="225"/>
      <c r="BV101" s="225"/>
      <c r="BW101" s="225"/>
      <c r="BY101" s="176"/>
      <c r="BZ101" s="176"/>
      <c r="CA101" s="176"/>
      <c r="CB101" s="176"/>
      <c r="CC101" s="176"/>
      <c r="CD101" s="176"/>
      <c r="CE101" s="176"/>
      <c r="CF101" s="176"/>
      <c r="CH101" s="248"/>
      <c r="CI101" s="248"/>
      <c r="CJ101" s="248"/>
      <c r="CK101" s="248"/>
      <c r="CL101" s="248"/>
      <c r="CM101" s="248"/>
      <c r="CN101" s="248"/>
      <c r="CO101" s="248"/>
      <c r="CQ101" s="248"/>
      <c r="CR101" s="248"/>
      <c r="CS101" s="248"/>
      <c r="CT101" s="248"/>
      <c r="CU101" s="248"/>
      <c r="CV101" s="248"/>
      <c r="CW101" s="248"/>
      <c r="CX101" s="248"/>
      <c r="CY101" s="248"/>
      <c r="DA101" s="248"/>
      <c r="DB101" s="248"/>
      <c r="DC101" s="248"/>
      <c r="DD101" s="248"/>
      <c r="DE101" s="248"/>
      <c r="DF101" s="248"/>
      <c r="DG101" s="248"/>
      <c r="DH101" s="248"/>
      <c r="DJ101" s="179" t="e">
        <f>#REF!+((SUMIFS($F101:$AM101,$F$3:$AM$3,$DJ$7)*80%))+SUMIFS(#REF!,#REF!,$DJ$7)</f>
        <v>#REF!</v>
      </c>
      <c r="DK101" s="179">
        <f t="shared" si="41"/>
        <v>0</v>
      </c>
      <c r="DL101" s="173" t="e">
        <f t="shared" si="62"/>
        <v>#REF!</v>
      </c>
    </row>
    <row r="102" spans="1:116">
      <c r="A102" s="168">
        <v>3303</v>
      </c>
      <c r="B102" s="2">
        <v>140463</v>
      </c>
      <c r="C102" s="2" t="s">
        <v>304</v>
      </c>
      <c r="D102" s="30"/>
      <c r="E102" s="226"/>
      <c r="F102" s="176">
        <v>0</v>
      </c>
      <c r="G102" s="176">
        <v>0</v>
      </c>
      <c r="H102" s="176">
        <v>0</v>
      </c>
      <c r="I102" s="176">
        <v>0</v>
      </c>
      <c r="J102" s="176">
        <v>0</v>
      </c>
      <c r="K102" s="176">
        <v>0</v>
      </c>
      <c r="L102" s="30">
        <f t="shared" si="42"/>
        <v>0</v>
      </c>
      <c r="M102" s="176">
        <f t="shared" si="43"/>
        <v>0</v>
      </c>
      <c r="N102" s="226"/>
      <c r="O102" s="176">
        <v>0</v>
      </c>
      <c r="P102" s="176">
        <v>0</v>
      </c>
      <c r="Q102" s="176">
        <v>0</v>
      </c>
      <c r="R102" s="176">
        <v>0</v>
      </c>
      <c r="S102" s="176">
        <v>0</v>
      </c>
      <c r="T102" s="176">
        <v>0</v>
      </c>
      <c r="U102" s="176">
        <f t="shared" si="44"/>
        <v>0</v>
      </c>
      <c r="V102" s="176">
        <f t="shared" si="45"/>
        <v>0</v>
      </c>
      <c r="W102" s="226"/>
      <c r="X102" s="247"/>
      <c r="Y102" s="176">
        <v>0</v>
      </c>
      <c r="Z102" s="176">
        <v>0</v>
      </c>
      <c r="AA102" s="176">
        <v>0</v>
      </c>
      <c r="AB102" s="176">
        <v>0</v>
      </c>
      <c r="AC102" s="176">
        <v>0</v>
      </c>
      <c r="AD102" s="176">
        <f t="shared" si="46"/>
        <v>0</v>
      </c>
      <c r="AE102" s="247">
        <f t="shared" si="47"/>
        <v>0</v>
      </c>
      <c r="AF102" s="226"/>
      <c r="AG102" s="247">
        <v>0</v>
      </c>
      <c r="AH102" s="247">
        <v>0</v>
      </c>
      <c r="AI102" s="247">
        <v>0</v>
      </c>
      <c r="AJ102" s="226"/>
      <c r="AK102" s="247">
        <f t="shared" si="48"/>
        <v>0</v>
      </c>
      <c r="AL102" s="247">
        <f t="shared" si="49"/>
        <v>0</v>
      </c>
      <c r="AM102" s="247">
        <f t="shared" si="50"/>
        <v>0</v>
      </c>
      <c r="AN102" s="225"/>
      <c r="AO102" s="225">
        <v>0</v>
      </c>
      <c r="AP102" s="225">
        <v>0</v>
      </c>
      <c r="AQ102" s="225">
        <v>0</v>
      </c>
      <c r="AR102" s="225">
        <v>0</v>
      </c>
      <c r="AS102" s="225">
        <v>0</v>
      </c>
      <c r="AT102" s="225">
        <v>0</v>
      </c>
      <c r="AU102" s="225">
        <v>0</v>
      </c>
      <c r="AV102" s="225">
        <f t="shared" si="51"/>
        <v>0</v>
      </c>
      <c r="AX102" s="225">
        <f t="shared" si="52"/>
        <v>0</v>
      </c>
      <c r="AY102" s="225">
        <f t="shared" si="53"/>
        <v>0</v>
      </c>
      <c r="AZ102" s="225">
        <f t="shared" si="54"/>
        <v>0</v>
      </c>
      <c r="BA102" s="225">
        <f t="shared" si="55"/>
        <v>0</v>
      </c>
      <c r="BB102" s="225">
        <f t="shared" si="56"/>
        <v>0</v>
      </c>
      <c r="BC102" s="225">
        <f t="shared" si="57"/>
        <v>0</v>
      </c>
      <c r="BD102" s="225">
        <f t="shared" si="58"/>
        <v>0</v>
      </c>
      <c r="BE102" s="225">
        <f t="shared" si="59"/>
        <v>0</v>
      </c>
      <c r="BF102" s="225">
        <f t="shared" si="60"/>
        <v>0</v>
      </c>
      <c r="BG102" s="225">
        <f t="shared" si="33"/>
        <v>0</v>
      </c>
      <c r="BH102" s="225">
        <f t="shared" si="34"/>
        <v>0</v>
      </c>
      <c r="BI102" s="225">
        <f t="shared" si="35"/>
        <v>0</v>
      </c>
      <c r="BJ102" s="225">
        <f t="shared" si="36"/>
        <v>0</v>
      </c>
      <c r="BK102" s="225">
        <f t="shared" si="37"/>
        <v>0</v>
      </c>
      <c r="BL102" s="225">
        <f t="shared" si="38"/>
        <v>0</v>
      </c>
      <c r="BM102" s="225">
        <f t="shared" si="39"/>
        <v>0</v>
      </c>
      <c r="BN102" s="225">
        <f t="shared" si="61"/>
        <v>0</v>
      </c>
      <c r="BO102" s="225">
        <f t="shared" si="40"/>
        <v>0</v>
      </c>
      <c r="BP102" s="225"/>
      <c r="BQ102" s="225"/>
      <c r="BR102" s="225"/>
      <c r="BS102" s="225"/>
      <c r="BT102" s="225"/>
      <c r="BU102" s="225"/>
      <c r="BV102" s="225"/>
      <c r="BW102" s="225"/>
      <c r="BY102" s="176"/>
      <c r="BZ102" s="176"/>
      <c r="CA102" s="176"/>
      <c r="CB102" s="176"/>
      <c r="CC102" s="176"/>
      <c r="CD102" s="176"/>
      <c r="CE102" s="176"/>
      <c r="CF102" s="176"/>
      <c r="CH102" s="248"/>
      <c r="CI102" s="248"/>
      <c r="CJ102" s="248"/>
      <c r="CK102" s="248"/>
      <c r="CL102" s="248"/>
      <c r="CM102" s="248"/>
      <c r="CN102" s="248"/>
      <c r="CO102" s="248"/>
      <c r="CQ102" s="248"/>
      <c r="CR102" s="248"/>
      <c r="CS102" s="248"/>
      <c r="CT102" s="248"/>
      <c r="CU102" s="248"/>
      <c r="CV102" s="248"/>
      <c r="CW102" s="248"/>
      <c r="CX102" s="248"/>
      <c r="CY102" s="248"/>
      <c r="DA102" s="248"/>
      <c r="DB102" s="248"/>
      <c r="DC102" s="248"/>
      <c r="DD102" s="248"/>
      <c r="DE102" s="248"/>
      <c r="DF102" s="248"/>
      <c r="DG102" s="248"/>
      <c r="DH102" s="248"/>
      <c r="DJ102" s="179" t="e">
        <f>#REF!+((SUMIFS($F102:$AM102,$F$3:$AM$3,$DJ$7)*80%))+SUMIFS(#REF!,#REF!,$DJ$7)</f>
        <v>#REF!</v>
      </c>
      <c r="DK102" s="179">
        <f t="shared" si="41"/>
        <v>0</v>
      </c>
      <c r="DL102" s="173" t="e">
        <f t="shared" si="62"/>
        <v>#REF!</v>
      </c>
    </row>
    <row r="103" spans="1:116">
      <c r="A103" s="168">
        <v>4241</v>
      </c>
      <c r="B103" s="2">
        <v>137034</v>
      </c>
      <c r="C103" s="2" t="s">
        <v>305</v>
      </c>
      <c r="D103" s="30"/>
      <c r="E103" s="226"/>
      <c r="F103" s="176">
        <v>0</v>
      </c>
      <c r="G103" s="176">
        <v>0</v>
      </c>
      <c r="H103" s="176">
        <v>0</v>
      </c>
      <c r="I103" s="176">
        <v>0</v>
      </c>
      <c r="J103" s="176">
        <v>0</v>
      </c>
      <c r="K103" s="176">
        <v>0</v>
      </c>
      <c r="L103" s="30">
        <f t="shared" si="42"/>
        <v>0</v>
      </c>
      <c r="M103" s="176">
        <f t="shared" si="43"/>
        <v>0</v>
      </c>
      <c r="N103" s="226"/>
      <c r="O103" s="176">
        <v>0</v>
      </c>
      <c r="P103" s="176">
        <v>0</v>
      </c>
      <c r="Q103" s="176">
        <v>0</v>
      </c>
      <c r="R103" s="176">
        <v>0</v>
      </c>
      <c r="S103" s="176">
        <v>0</v>
      </c>
      <c r="T103" s="176">
        <v>0</v>
      </c>
      <c r="U103" s="176">
        <f t="shared" si="44"/>
        <v>0</v>
      </c>
      <c r="V103" s="176">
        <f t="shared" si="45"/>
        <v>0</v>
      </c>
      <c r="W103" s="226"/>
      <c r="X103" s="247"/>
      <c r="Y103" s="176">
        <v>0</v>
      </c>
      <c r="Z103" s="176">
        <v>0</v>
      </c>
      <c r="AA103" s="176">
        <v>0</v>
      </c>
      <c r="AB103" s="176">
        <v>0</v>
      </c>
      <c r="AC103" s="176">
        <v>0</v>
      </c>
      <c r="AD103" s="176">
        <f t="shared" si="46"/>
        <v>0</v>
      </c>
      <c r="AE103" s="247">
        <f t="shared" si="47"/>
        <v>0</v>
      </c>
      <c r="AF103" s="226"/>
      <c r="AG103" s="247">
        <v>0</v>
      </c>
      <c r="AH103" s="247">
        <v>0</v>
      </c>
      <c r="AI103" s="247">
        <v>0</v>
      </c>
      <c r="AJ103" s="226"/>
      <c r="AK103" s="247">
        <f t="shared" si="48"/>
        <v>0</v>
      </c>
      <c r="AL103" s="247">
        <f t="shared" si="49"/>
        <v>0</v>
      </c>
      <c r="AM103" s="247">
        <f t="shared" si="50"/>
        <v>0</v>
      </c>
      <c r="AN103" s="225"/>
      <c r="AO103" s="225">
        <v>0</v>
      </c>
      <c r="AP103" s="225">
        <v>0</v>
      </c>
      <c r="AQ103" s="225">
        <v>0</v>
      </c>
      <c r="AR103" s="225">
        <v>0</v>
      </c>
      <c r="AS103" s="225">
        <v>0</v>
      </c>
      <c r="AT103" s="225">
        <v>0</v>
      </c>
      <c r="AU103" s="225">
        <v>0</v>
      </c>
      <c r="AV103" s="225">
        <f t="shared" si="51"/>
        <v>0</v>
      </c>
      <c r="AX103" s="225">
        <f t="shared" si="52"/>
        <v>0</v>
      </c>
      <c r="AY103" s="225">
        <f t="shared" si="53"/>
        <v>0</v>
      </c>
      <c r="AZ103" s="225">
        <f t="shared" si="54"/>
        <v>0</v>
      </c>
      <c r="BA103" s="225">
        <f t="shared" si="55"/>
        <v>0</v>
      </c>
      <c r="BB103" s="225">
        <f t="shared" si="56"/>
        <v>0</v>
      </c>
      <c r="BC103" s="225">
        <f t="shared" si="57"/>
        <v>0</v>
      </c>
      <c r="BD103" s="225">
        <f t="shared" si="58"/>
        <v>0</v>
      </c>
      <c r="BE103" s="225">
        <f t="shared" si="59"/>
        <v>0</v>
      </c>
      <c r="BF103" s="225">
        <f t="shared" si="60"/>
        <v>0</v>
      </c>
      <c r="BG103" s="225">
        <f t="shared" si="33"/>
        <v>0</v>
      </c>
      <c r="BH103" s="225">
        <f t="shared" si="34"/>
        <v>0</v>
      </c>
      <c r="BI103" s="225">
        <f t="shared" si="35"/>
        <v>0</v>
      </c>
      <c r="BJ103" s="225">
        <f t="shared" si="36"/>
        <v>0</v>
      </c>
      <c r="BK103" s="225">
        <f t="shared" si="37"/>
        <v>0</v>
      </c>
      <c r="BL103" s="225">
        <f t="shared" si="38"/>
        <v>0</v>
      </c>
      <c r="BM103" s="225">
        <f t="shared" si="39"/>
        <v>0</v>
      </c>
      <c r="BN103" s="225">
        <f t="shared" si="61"/>
        <v>0</v>
      </c>
      <c r="BO103" s="225">
        <f t="shared" si="40"/>
        <v>0</v>
      </c>
      <c r="BP103" s="225"/>
      <c r="BQ103" s="225"/>
      <c r="BR103" s="225"/>
      <c r="BS103" s="225"/>
      <c r="BT103" s="225"/>
      <c r="BU103" s="225"/>
      <c r="BV103" s="225"/>
      <c r="BW103" s="225"/>
      <c r="BY103" s="176"/>
      <c r="BZ103" s="176"/>
      <c r="CA103" s="176"/>
      <c r="CB103" s="176"/>
      <c r="CC103" s="176"/>
      <c r="CD103" s="176"/>
      <c r="CE103" s="176"/>
      <c r="CF103" s="176"/>
      <c r="CH103" s="248"/>
      <c r="CI103" s="248"/>
      <c r="CJ103" s="248"/>
      <c r="CK103" s="248"/>
      <c r="CL103" s="248"/>
      <c r="CM103" s="248"/>
      <c r="CN103" s="248"/>
      <c r="CO103" s="248"/>
      <c r="CQ103" s="248"/>
      <c r="CR103" s="248"/>
      <c r="CS103" s="248"/>
      <c r="CT103" s="248"/>
      <c r="CU103" s="248"/>
      <c r="CV103" s="248"/>
      <c r="CW103" s="248"/>
      <c r="CX103" s="248"/>
      <c r="CY103" s="248"/>
      <c r="DA103" s="248"/>
      <c r="DB103" s="248"/>
      <c r="DC103" s="248"/>
      <c r="DD103" s="248"/>
      <c r="DE103" s="248"/>
      <c r="DF103" s="248"/>
      <c r="DG103" s="248"/>
      <c r="DH103" s="248"/>
      <c r="DJ103" s="179" t="e">
        <f>#REF!+((SUMIFS($F103:$AM103,$F$3:$AM$3,$DJ$7)*80%))+SUMIFS(#REF!,#REF!,$DJ$7)</f>
        <v>#REF!</v>
      </c>
      <c r="DK103" s="179">
        <f t="shared" si="41"/>
        <v>0</v>
      </c>
      <c r="DL103" s="173" t="e">
        <f t="shared" si="62"/>
        <v>#REF!</v>
      </c>
    </row>
    <row r="104" spans="1:116">
      <c r="A104" s="168">
        <v>7063</v>
      </c>
      <c r="B104" s="2">
        <v>139526</v>
      </c>
      <c r="C104" s="2" t="s">
        <v>306</v>
      </c>
      <c r="D104" s="30"/>
      <c r="E104" s="226"/>
      <c r="F104" s="176">
        <v>0</v>
      </c>
      <c r="G104" s="176">
        <v>0</v>
      </c>
      <c r="H104" s="176">
        <v>0</v>
      </c>
      <c r="I104" s="176">
        <v>0</v>
      </c>
      <c r="J104" s="176">
        <v>0</v>
      </c>
      <c r="K104" s="176">
        <v>0</v>
      </c>
      <c r="L104" s="30">
        <f t="shared" si="42"/>
        <v>0</v>
      </c>
      <c r="M104" s="176">
        <f t="shared" si="43"/>
        <v>0</v>
      </c>
      <c r="N104" s="226"/>
      <c r="O104" s="176">
        <v>0</v>
      </c>
      <c r="P104" s="176">
        <v>0</v>
      </c>
      <c r="Q104" s="176">
        <v>0</v>
      </c>
      <c r="R104" s="176">
        <v>0</v>
      </c>
      <c r="S104" s="176">
        <v>0</v>
      </c>
      <c r="T104" s="176">
        <v>0</v>
      </c>
      <c r="U104" s="176">
        <f t="shared" si="44"/>
        <v>0</v>
      </c>
      <c r="V104" s="176">
        <f t="shared" si="45"/>
        <v>0</v>
      </c>
      <c r="W104" s="226"/>
      <c r="X104" s="247"/>
      <c r="Y104" s="176">
        <v>0</v>
      </c>
      <c r="Z104" s="176">
        <v>0</v>
      </c>
      <c r="AA104" s="176">
        <v>0</v>
      </c>
      <c r="AB104" s="176">
        <v>0</v>
      </c>
      <c r="AC104" s="176">
        <v>0</v>
      </c>
      <c r="AD104" s="176">
        <f t="shared" si="46"/>
        <v>0</v>
      </c>
      <c r="AE104" s="247">
        <f t="shared" si="47"/>
        <v>0</v>
      </c>
      <c r="AF104" s="226"/>
      <c r="AG104" s="247">
        <v>0</v>
      </c>
      <c r="AH104" s="247">
        <v>0</v>
      </c>
      <c r="AI104" s="247">
        <v>0</v>
      </c>
      <c r="AJ104" s="226"/>
      <c r="AK104" s="247">
        <f t="shared" si="48"/>
        <v>0</v>
      </c>
      <c r="AL104" s="247">
        <f t="shared" si="49"/>
        <v>0</v>
      </c>
      <c r="AM104" s="247">
        <f t="shared" si="50"/>
        <v>0</v>
      </c>
      <c r="AN104" s="225"/>
      <c r="AO104" s="225">
        <v>0</v>
      </c>
      <c r="AP104" s="225">
        <v>0</v>
      </c>
      <c r="AQ104" s="225">
        <v>0</v>
      </c>
      <c r="AR104" s="225">
        <v>0</v>
      </c>
      <c r="AS104" s="225">
        <v>0</v>
      </c>
      <c r="AT104" s="225">
        <v>0</v>
      </c>
      <c r="AU104" s="225">
        <v>0</v>
      </c>
      <c r="AV104" s="225">
        <f t="shared" si="51"/>
        <v>0</v>
      </c>
      <c r="AX104" s="225">
        <f t="shared" si="52"/>
        <v>0</v>
      </c>
      <c r="AY104" s="225">
        <f t="shared" si="53"/>
        <v>0</v>
      </c>
      <c r="AZ104" s="225">
        <f t="shared" si="54"/>
        <v>0</v>
      </c>
      <c r="BA104" s="225">
        <f t="shared" si="55"/>
        <v>0</v>
      </c>
      <c r="BB104" s="225">
        <f t="shared" si="56"/>
        <v>0</v>
      </c>
      <c r="BC104" s="225">
        <f t="shared" si="57"/>
        <v>0</v>
      </c>
      <c r="BD104" s="225">
        <f t="shared" si="58"/>
        <v>0</v>
      </c>
      <c r="BE104" s="225">
        <f t="shared" si="59"/>
        <v>0</v>
      </c>
      <c r="BF104" s="225">
        <f t="shared" si="60"/>
        <v>0</v>
      </c>
      <c r="BG104" s="225">
        <f t="shared" si="33"/>
        <v>0</v>
      </c>
      <c r="BH104" s="225">
        <f t="shared" si="34"/>
        <v>0</v>
      </c>
      <c r="BI104" s="225">
        <f t="shared" si="35"/>
        <v>0</v>
      </c>
      <c r="BJ104" s="225">
        <f t="shared" si="36"/>
        <v>0</v>
      </c>
      <c r="BK104" s="225">
        <f t="shared" si="37"/>
        <v>0</v>
      </c>
      <c r="BL104" s="225">
        <f t="shared" si="38"/>
        <v>0</v>
      </c>
      <c r="BM104" s="225">
        <f t="shared" si="39"/>
        <v>0</v>
      </c>
      <c r="BN104" s="225">
        <f t="shared" si="61"/>
        <v>0</v>
      </c>
      <c r="BO104" s="225">
        <f t="shared" si="40"/>
        <v>0</v>
      </c>
      <c r="BP104" s="225"/>
      <c r="BQ104" s="225"/>
      <c r="BR104" s="225"/>
      <c r="BS104" s="225"/>
      <c r="BT104" s="225"/>
      <c r="BU104" s="225"/>
      <c r="BV104" s="225"/>
      <c r="BW104" s="225"/>
      <c r="BY104" s="176"/>
      <c r="BZ104" s="176"/>
      <c r="CA104" s="176"/>
      <c r="CB104" s="176"/>
      <c r="CC104" s="176"/>
      <c r="CD104" s="176"/>
      <c r="CE104" s="176"/>
      <c r="CF104" s="176"/>
      <c r="CH104" s="248"/>
      <c r="CI104" s="248"/>
      <c r="CJ104" s="248"/>
      <c r="CK104" s="248"/>
      <c r="CL104" s="248"/>
      <c r="CM104" s="248"/>
      <c r="CN104" s="248"/>
      <c r="CO104" s="248"/>
      <c r="CQ104" s="248"/>
      <c r="CR104" s="248"/>
      <c r="CS104" s="248"/>
      <c r="CT104" s="248"/>
      <c r="CU104" s="248"/>
      <c r="CV104" s="248"/>
      <c r="CW104" s="248"/>
      <c r="CX104" s="248"/>
      <c r="CY104" s="248"/>
      <c r="DA104" s="248"/>
      <c r="DB104" s="248"/>
      <c r="DC104" s="248"/>
      <c r="DD104" s="248"/>
      <c r="DE104" s="248"/>
      <c r="DF104" s="248"/>
      <c r="DG104" s="248"/>
      <c r="DH104" s="248"/>
      <c r="DJ104" s="179" t="e">
        <f>#REF!+((SUMIFS($F104:$AM104,$F$3:$AM$3,$DJ$7)*80%))+SUMIFS(#REF!,#REF!,$DJ$7)</f>
        <v>#REF!</v>
      </c>
      <c r="DK104" s="179">
        <f t="shared" ref="DK104:DK135" si="63">(SUMIFS($F104:$AM104,$F$3:$AM$3,$DK$7)*80%)</f>
        <v>0</v>
      </c>
      <c r="DL104" s="173" t="e">
        <f t="shared" si="62"/>
        <v>#REF!</v>
      </c>
    </row>
    <row r="105" spans="1:116">
      <c r="A105" s="168">
        <v>2111</v>
      </c>
      <c r="B105" s="2">
        <v>142353</v>
      </c>
      <c r="C105" s="2" t="s">
        <v>307</v>
      </c>
      <c r="D105" s="30"/>
      <c r="E105" s="226"/>
      <c r="F105" s="176">
        <v>0</v>
      </c>
      <c r="G105" s="176">
        <v>0</v>
      </c>
      <c r="H105" s="176">
        <v>0</v>
      </c>
      <c r="I105" s="176">
        <v>0</v>
      </c>
      <c r="J105" s="176">
        <v>0</v>
      </c>
      <c r="K105" s="176">
        <v>0</v>
      </c>
      <c r="L105" s="30">
        <f t="shared" si="42"/>
        <v>0</v>
      </c>
      <c r="M105" s="176">
        <f t="shared" si="43"/>
        <v>0</v>
      </c>
      <c r="N105" s="226"/>
      <c r="O105" s="176">
        <v>0</v>
      </c>
      <c r="P105" s="176">
        <v>0</v>
      </c>
      <c r="Q105" s="176">
        <v>0</v>
      </c>
      <c r="R105" s="176">
        <v>0</v>
      </c>
      <c r="S105" s="176">
        <v>0</v>
      </c>
      <c r="T105" s="176">
        <v>0</v>
      </c>
      <c r="U105" s="176">
        <f t="shared" si="44"/>
        <v>0</v>
      </c>
      <c r="V105" s="176">
        <f t="shared" si="45"/>
        <v>0</v>
      </c>
      <c r="W105" s="226"/>
      <c r="X105" s="247"/>
      <c r="Y105" s="176">
        <v>0</v>
      </c>
      <c r="Z105" s="176">
        <v>0</v>
      </c>
      <c r="AA105" s="176">
        <v>0</v>
      </c>
      <c r="AB105" s="176">
        <v>0</v>
      </c>
      <c r="AC105" s="176">
        <v>0</v>
      </c>
      <c r="AD105" s="176">
        <f t="shared" si="46"/>
        <v>0</v>
      </c>
      <c r="AE105" s="247">
        <f t="shared" si="47"/>
        <v>0</v>
      </c>
      <c r="AF105" s="226"/>
      <c r="AG105" s="247">
        <v>0</v>
      </c>
      <c r="AH105" s="247">
        <v>0</v>
      </c>
      <c r="AI105" s="247">
        <v>0</v>
      </c>
      <c r="AJ105" s="226"/>
      <c r="AK105" s="247">
        <f t="shared" si="48"/>
        <v>0</v>
      </c>
      <c r="AL105" s="247">
        <f t="shared" si="49"/>
        <v>0</v>
      </c>
      <c r="AM105" s="247">
        <f t="shared" si="50"/>
        <v>0</v>
      </c>
      <c r="AN105" s="225"/>
      <c r="AO105" s="225">
        <v>0</v>
      </c>
      <c r="AP105" s="225">
        <v>0</v>
      </c>
      <c r="AQ105" s="225">
        <v>0</v>
      </c>
      <c r="AR105" s="225">
        <v>0</v>
      </c>
      <c r="AS105" s="225">
        <v>0</v>
      </c>
      <c r="AT105" s="225">
        <v>0</v>
      </c>
      <c r="AU105" s="225">
        <v>0</v>
      </c>
      <c r="AV105" s="225">
        <f t="shared" si="51"/>
        <v>0</v>
      </c>
      <c r="AX105" s="225">
        <f t="shared" si="52"/>
        <v>0</v>
      </c>
      <c r="AY105" s="225">
        <f t="shared" si="53"/>
        <v>0</v>
      </c>
      <c r="AZ105" s="225">
        <f t="shared" si="54"/>
        <v>0</v>
      </c>
      <c r="BA105" s="225">
        <f t="shared" si="55"/>
        <v>0</v>
      </c>
      <c r="BB105" s="225">
        <f t="shared" si="56"/>
        <v>0</v>
      </c>
      <c r="BC105" s="225">
        <f t="shared" si="57"/>
        <v>0</v>
      </c>
      <c r="BD105" s="225">
        <f t="shared" si="58"/>
        <v>0</v>
      </c>
      <c r="BE105" s="225">
        <f t="shared" si="59"/>
        <v>0</v>
      </c>
      <c r="BF105" s="225">
        <f t="shared" si="60"/>
        <v>0</v>
      </c>
      <c r="BG105" s="225">
        <f t="shared" si="33"/>
        <v>0</v>
      </c>
      <c r="BH105" s="225">
        <f t="shared" si="34"/>
        <v>0</v>
      </c>
      <c r="BI105" s="225">
        <f t="shared" si="35"/>
        <v>0</v>
      </c>
      <c r="BJ105" s="225">
        <f t="shared" si="36"/>
        <v>0</v>
      </c>
      <c r="BK105" s="225">
        <f t="shared" si="37"/>
        <v>0</v>
      </c>
      <c r="BL105" s="225">
        <f t="shared" si="38"/>
        <v>0</v>
      </c>
      <c r="BM105" s="225">
        <f t="shared" si="39"/>
        <v>0</v>
      </c>
      <c r="BN105" s="225">
        <f t="shared" si="61"/>
        <v>0</v>
      </c>
      <c r="BO105" s="225">
        <f t="shared" si="40"/>
        <v>0</v>
      </c>
      <c r="BP105" s="225"/>
      <c r="BQ105" s="225"/>
      <c r="BR105" s="225"/>
      <c r="BS105" s="225"/>
      <c r="BT105" s="225"/>
      <c r="BU105" s="225"/>
      <c r="BV105" s="225"/>
      <c r="BW105" s="225"/>
      <c r="BY105" s="176"/>
      <c r="BZ105" s="176"/>
      <c r="CA105" s="176"/>
      <c r="CB105" s="176"/>
      <c r="CC105" s="176"/>
      <c r="CD105" s="176"/>
      <c r="CE105" s="176"/>
      <c r="CF105" s="176"/>
      <c r="CH105" s="248"/>
      <c r="CI105" s="248"/>
      <c r="CJ105" s="248"/>
      <c r="CK105" s="248"/>
      <c r="CL105" s="248"/>
      <c r="CM105" s="248"/>
      <c r="CN105" s="248"/>
      <c r="CO105" s="248"/>
      <c r="CQ105" s="248"/>
      <c r="CR105" s="248"/>
      <c r="CS105" s="248"/>
      <c r="CT105" s="248"/>
      <c r="CU105" s="248"/>
      <c r="CV105" s="248"/>
      <c r="CW105" s="248"/>
      <c r="CX105" s="248"/>
      <c r="CY105" s="248"/>
      <c r="DA105" s="248"/>
      <c r="DB105" s="248"/>
      <c r="DC105" s="248"/>
      <c r="DD105" s="248"/>
      <c r="DE105" s="248"/>
      <c r="DF105" s="248"/>
      <c r="DG105" s="248"/>
      <c r="DH105" s="248"/>
      <c r="DJ105" s="179" t="e">
        <f>#REF!+((SUMIFS($F105:$AM105,$F$3:$AM$3,$DJ$7)*80%))+SUMIFS(#REF!,#REF!,$DJ$7)</f>
        <v>#REF!</v>
      </c>
      <c r="DK105" s="179">
        <f t="shared" si="63"/>
        <v>0</v>
      </c>
      <c r="DL105" s="173" t="e">
        <f t="shared" si="62"/>
        <v>#REF!</v>
      </c>
    </row>
    <row r="106" spans="1:116">
      <c r="A106" s="168">
        <v>4016</v>
      </c>
      <c r="B106" s="2">
        <v>141003</v>
      </c>
      <c r="C106" s="2" t="s">
        <v>308</v>
      </c>
      <c r="D106" s="30"/>
      <c r="E106" s="226"/>
      <c r="F106" s="176">
        <v>0</v>
      </c>
      <c r="G106" s="176">
        <v>0</v>
      </c>
      <c r="H106" s="176">
        <v>0</v>
      </c>
      <c r="I106" s="176">
        <v>0</v>
      </c>
      <c r="J106" s="176">
        <v>0</v>
      </c>
      <c r="K106" s="176">
        <v>0</v>
      </c>
      <c r="L106" s="30">
        <f t="shared" si="42"/>
        <v>0</v>
      </c>
      <c r="M106" s="176">
        <f t="shared" si="43"/>
        <v>0</v>
      </c>
      <c r="N106" s="226"/>
      <c r="O106" s="176">
        <v>0</v>
      </c>
      <c r="P106" s="176">
        <v>0</v>
      </c>
      <c r="Q106" s="176">
        <v>0</v>
      </c>
      <c r="R106" s="176">
        <v>0</v>
      </c>
      <c r="S106" s="176">
        <v>0</v>
      </c>
      <c r="T106" s="176">
        <v>0</v>
      </c>
      <c r="U106" s="176">
        <f t="shared" si="44"/>
        <v>0</v>
      </c>
      <c r="V106" s="176">
        <f t="shared" si="45"/>
        <v>0</v>
      </c>
      <c r="W106" s="226"/>
      <c r="X106" s="247"/>
      <c r="Y106" s="176">
        <v>0</v>
      </c>
      <c r="Z106" s="176">
        <v>0</v>
      </c>
      <c r="AA106" s="176">
        <v>0</v>
      </c>
      <c r="AB106" s="176">
        <v>0</v>
      </c>
      <c r="AC106" s="176">
        <v>0</v>
      </c>
      <c r="AD106" s="176">
        <f t="shared" si="46"/>
        <v>0</v>
      </c>
      <c r="AE106" s="247">
        <f t="shared" si="47"/>
        <v>0</v>
      </c>
      <c r="AF106" s="226"/>
      <c r="AG106" s="247">
        <v>0</v>
      </c>
      <c r="AH106" s="247">
        <v>0</v>
      </c>
      <c r="AI106" s="247">
        <v>0</v>
      </c>
      <c r="AJ106" s="226"/>
      <c r="AK106" s="247">
        <f t="shared" si="48"/>
        <v>0</v>
      </c>
      <c r="AL106" s="247">
        <f t="shared" si="49"/>
        <v>0</v>
      </c>
      <c r="AM106" s="247">
        <f t="shared" si="50"/>
        <v>0</v>
      </c>
      <c r="AN106" s="225"/>
      <c r="AO106" s="225">
        <v>0</v>
      </c>
      <c r="AP106" s="225">
        <v>0</v>
      </c>
      <c r="AQ106" s="225">
        <v>0</v>
      </c>
      <c r="AR106" s="225">
        <v>0</v>
      </c>
      <c r="AS106" s="225">
        <v>0</v>
      </c>
      <c r="AT106" s="225">
        <v>0</v>
      </c>
      <c r="AU106" s="225">
        <v>0</v>
      </c>
      <c r="AV106" s="225">
        <f t="shared" si="51"/>
        <v>0</v>
      </c>
      <c r="AX106" s="225">
        <f t="shared" si="52"/>
        <v>0</v>
      </c>
      <c r="AY106" s="225">
        <f t="shared" si="53"/>
        <v>0</v>
      </c>
      <c r="AZ106" s="225">
        <f t="shared" si="54"/>
        <v>0</v>
      </c>
      <c r="BA106" s="225">
        <f t="shared" si="55"/>
        <v>0</v>
      </c>
      <c r="BB106" s="225">
        <f t="shared" si="56"/>
        <v>0</v>
      </c>
      <c r="BC106" s="225">
        <f t="shared" si="57"/>
        <v>0</v>
      </c>
      <c r="BD106" s="225">
        <f t="shared" si="58"/>
        <v>0</v>
      </c>
      <c r="BE106" s="225">
        <f t="shared" si="59"/>
        <v>0</v>
      </c>
      <c r="BF106" s="225">
        <f t="shared" si="60"/>
        <v>0</v>
      </c>
      <c r="BG106" s="225">
        <f t="shared" si="33"/>
        <v>0</v>
      </c>
      <c r="BH106" s="225">
        <f t="shared" si="34"/>
        <v>0</v>
      </c>
      <c r="BI106" s="225">
        <f t="shared" si="35"/>
        <v>0</v>
      </c>
      <c r="BJ106" s="225">
        <f t="shared" si="36"/>
        <v>0</v>
      </c>
      <c r="BK106" s="225">
        <f t="shared" si="37"/>
        <v>0</v>
      </c>
      <c r="BL106" s="225">
        <f t="shared" si="38"/>
        <v>0</v>
      </c>
      <c r="BM106" s="225">
        <f t="shared" si="39"/>
        <v>0</v>
      </c>
      <c r="BN106" s="225">
        <f t="shared" si="61"/>
        <v>0</v>
      </c>
      <c r="BO106" s="225">
        <f t="shared" si="40"/>
        <v>0</v>
      </c>
      <c r="BP106" s="225"/>
      <c r="BQ106" s="225"/>
      <c r="BR106" s="225"/>
      <c r="BS106" s="225"/>
      <c r="BT106" s="225"/>
      <c r="BU106" s="225"/>
      <c r="BV106" s="225"/>
      <c r="BW106" s="225"/>
      <c r="BY106" s="176"/>
      <c r="BZ106" s="176"/>
      <c r="CA106" s="176"/>
      <c r="CB106" s="176"/>
      <c r="CC106" s="176"/>
      <c r="CD106" s="176"/>
      <c r="CE106" s="176"/>
      <c r="CF106" s="176"/>
      <c r="CH106" s="248"/>
      <c r="CI106" s="248"/>
      <c r="CJ106" s="248"/>
      <c r="CK106" s="248"/>
      <c r="CL106" s="248"/>
      <c r="CM106" s="248"/>
      <c r="CN106" s="248"/>
      <c r="CO106" s="248"/>
      <c r="CQ106" s="248"/>
      <c r="CR106" s="248"/>
      <c r="CS106" s="248"/>
      <c r="CT106" s="248"/>
      <c r="CU106" s="248"/>
      <c r="CV106" s="248"/>
      <c r="CW106" s="248"/>
      <c r="CX106" s="248"/>
      <c r="CY106" s="248"/>
      <c r="DA106" s="248"/>
      <c r="DB106" s="248"/>
      <c r="DC106" s="248"/>
      <c r="DD106" s="248"/>
      <c r="DE106" s="248"/>
      <c r="DF106" s="248"/>
      <c r="DG106" s="248"/>
      <c r="DH106" s="248"/>
      <c r="DJ106" s="179" t="e">
        <f>#REF!+((SUMIFS($F106:$AM106,$F$3:$AM$3,$DJ$7)*80%))+SUMIFS(#REF!,#REF!,$DJ$7)</f>
        <v>#REF!</v>
      </c>
      <c r="DK106" s="179">
        <f t="shared" si="63"/>
        <v>0</v>
      </c>
      <c r="DL106" s="173" t="e">
        <f t="shared" si="62"/>
        <v>#REF!</v>
      </c>
    </row>
    <row r="107" spans="1:116">
      <c r="A107" s="168">
        <v>5408</v>
      </c>
      <c r="B107" s="2">
        <v>137043</v>
      </c>
      <c r="C107" s="2" t="s">
        <v>309</v>
      </c>
      <c r="D107" s="30"/>
      <c r="E107" s="226"/>
      <c r="F107" s="176">
        <v>0</v>
      </c>
      <c r="G107" s="176">
        <v>0</v>
      </c>
      <c r="H107" s="176">
        <v>0</v>
      </c>
      <c r="I107" s="176">
        <v>0</v>
      </c>
      <c r="J107" s="176">
        <v>0</v>
      </c>
      <c r="K107" s="176">
        <v>0</v>
      </c>
      <c r="L107" s="30">
        <f t="shared" si="42"/>
        <v>0</v>
      </c>
      <c r="M107" s="176">
        <f t="shared" si="43"/>
        <v>0</v>
      </c>
      <c r="N107" s="226"/>
      <c r="O107" s="176">
        <v>0</v>
      </c>
      <c r="P107" s="176">
        <v>0</v>
      </c>
      <c r="Q107" s="176">
        <v>0</v>
      </c>
      <c r="R107" s="176">
        <v>0</v>
      </c>
      <c r="S107" s="176">
        <v>0</v>
      </c>
      <c r="T107" s="176">
        <v>0</v>
      </c>
      <c r="U107" s="176">
        <f t="shared" si="44"/>
        <v>0</v>
      </c>
      <c r="V107" s="176">
        <f t="shared" si="45"/>
        <v>0</v>
      </c>
      <c r="W107" s="226"/>
      <c r="X107" s="247"/>
      <c r="Y107" s="176">
        <v>0</v>
      </c>
      <c r="Z107" s="176">
        <v>0</v>
      </c>
      <c r="AA107" s="176">
        <v>0</v>
      </c>
      <c r="AB107" s="176">
        <v>0</v>
      </c>
      <c r="AC107" s="176">
        <v>0</v>
      </c>
      <c r="AD107" s="176">
        <f t="shared" si="46"/>
        <v>0</v>
      </c>
      <c r="AE107" s="247">
        <f t="shared" si="47"/>
        <v>0</v>
      </c>
      <c r="AF107" s="226"/>
      <c r="AG107" s="247">
        <v>0</v>
      </c>
      <c r="AH107" s="247">
        <v>0</v>
      </c>
      <c r="AI107" s="247">
        <v>0</v>
      </c>
      <c r="AJ107" s="226"/>
      <c r="AK107" s="247">
        <f t="shared" si="48"/>
        <v>0</v>
      </c>
      <c r="AL107" s="247">
        <f t="shared" si="49"/>
        <v>0</v>
      </c>
      <c r="AM107" s="247">
        <f t="shared" si="50"/>
        <v>0</v>
      </c>
      <c r="AN107" s="225"/>
      <c r="AO107" s="225">
        <v>0</v>
      </c>
      <c r="AP107" s="225">
        <v>0</v>
      </c>
      <c r="AQ107" s="225">
        <v>0</v>
      </c>
      <c r="AR107" s="225">
        <v>0</v>
      </c>
      <c r="AS107" s="225">
        <v>0</v>
      </c>
      <c r="AT107" s="225">
        <v>0</v>
      </c>
      <c r="AU107" s="225">
        <v>0</v>
      </c>
      <c r="AV107" s="225">
        <f t="shared" si="51"/>
        <v>0</v>
      </c>
      <c r="AX107" s="225">
        <f t="shared" si="52"/>
        <v>0</v>
      </c>
      <c r="AY107" s="225">
        <f t="shared" si="53"/>
        <v>0</v>
      </c>
      <c r="AZ107" s="225">
        <f t="shared" si="54"/>
        <v>0</v>
      </c>
      <c r="BA107" s="225">
        <f t="shared" si="55"/>
        <v>0</v>
      </c>
      <c r="BB107" s="225">
        <f t="shared" si="56"/>
        <v>0</v>
      </c>
      <c r="BC107" s="225">
        <f t="shared" si="57"/>
        <v>0</v>
      </c>
      <c r="BD107" s="225">
        <f t="shared" si="58"/>
        <v>0</v>
      </c>
      <c r="BE107" s="225">
        <f t="shared" si="59"/>
        <v>0</v>
      </c>
      <c r="BF107" s="225">
        <f t="shared" si="60"/>
        <v>0</v>
      </c>
      <c r="BG107" s="225">
        <f t="shared" si="33"/>
        <v>0</v>
      </c>
      <c r="BH107" s="225">
        <f t="shared" si="34"/>
        <v>0</v>
      </c>
      <c r="BI107" s="225">
        <f t="shared" si="35"/>
        <v>0</v>
      </c>
      <c r="BJ107" s="225">
        <f t="shared" si="36"/>
        <v>0</v>
      </c>
      <c r="BK107" s="225">
        <f t="shared" si="37"/>
        <v>0</v>
      </c>
      <c r="BL107" s="225">
        <f t="shared" si="38"/>
        <v>0</v>
      </c>
      <c r="BM107" s="225">
        <f t="shared" si="39"/>
        <v>0</v>
      </c>
      <c r="BN107" s="225">
        <f t="shared" si="61"/>
        <v>0</v>
      </c>
      <c r="BO107" s="225">
        <f t="shared" si="40"/>
        <v>0</v>
      </c>
      <c r="BP107" s="225"/>
      <c r="BQ107" s="225"/>
      <c r="BR107" s="225"/>
      <c r="BS107" s="225"/>
      <c r="BT107" s="225"/>
      <c r="BU107" s="225"/>
      <c r="BV107" s="225"/>
      <c r="BW107" s="225"/>
      <c r="BY107" s="176"/>
      <c r="BZ107" s="176"/>
      <c r="CA107" s="176"/>
      <c r="CB107" s="176"/>
      <c r="CC107" s="176"/>
      <c r="CD107" s="176"/>
      <c r="CE107" s="176"/>
      <c r="CF107" s="176"/>
      <c r="CH107" s="248"/>
      <c r="CI107" s="248"/>
      <c r="CJ107" s="248"/>
      <c r="CK107" s="248"/>
      <c r="CL107" s="248"/>
      <c r="CM107" s="248"/>
      <c r="CN107" s="248"/>
      <c r="CO107" s="248"/>
      <c r="CQ107" s="248"/>
      <c r="CR107" s="248"/>
      <c r="CS107" s="248"/>
      <c r="CT107" s="248"/>
      <c r="CU107" s="248"/>
      <c r="CV107" s="248"/>
      <c r="CW107" s="248"/>
      <c r="CX107" s="248"/>
      <c r="CY107" s="248"/>
      <c r="DA107" s="248"/>
      <c r="DB107" s="248"/>
      <c r="DC107" s="248"/>
      <c r="DD107" s="248"/>
      <c r="DE107" s="248"/>
      <c r="DF107" s="248"/>
      <c r="DG107" s="248"/>
      <c r="DH107" s="248"/>
      <c r="DJ107" s="179" t="e">
        <f>#REF!+((SUMIFS($F107:$AM107,$F$3:$AM$3,$DJ$7)*80%))+SUMIFS(#REF!,#REF!,$DJ$7)</f>
        <v>#REF!</v>
      </c>
      <c r="DK107" s="179">
        <f t="shared" si="63"/>
        <v>0</v>
      </c>
      <c r="DL107" s="173" t="e">
        <f t="shared" si="62"/>
        <v>#REF!</v>
      </c>
    </row>
    <row r="108" spans="1:116">
      <c r="A108" s="168">
        <v>4036</v>
      </c>
      <c r="B108" s="2">
        <v>147440</v>
      </c>
      <c r="C108" s="2" t="s">
        <v>310</v>
      </c>
      <c r="D108" s="30"/>
      <c r="E108" s="226"/>
      <c r="F108" s="176">
        <v>0</v>
      </c>
      <c r="G108" s="176">
        <v>0</v>
      </c>
      <c r="H108" s="176">
        <v>0</v>
      </c>
      <c r="I108" s="176">
        <v>0</v>
      </c>
      <c r="J108" s="176">
        <v>0</v>
      </c>
      <c r="K108" s="176">
        <v>0</v>
      </c>
      <c r="L108" s="30">
        <f t="shared" si="42"/>
        <v>0</v>
      </c>
      <c r="M108" s="176">
        <f t="shared" si="43"/>
        <v>0</v>
      </c>
      <c r="N108" s="226"/>
      <c r="O108" s="176">
        <v>0</v>
      </c>
      <c r="P108" s="176">
        <v>0</v>
      </c>
      <c r="Q108" s="176">
        <v>0</v>
      </c>
      <c r="R108" s="176">
        <v>0</v>
      </c>
      <c r="S108" s="176">
        <v>0</v>
      </c>
      <c r="T108" s="176">
        <v>0</v>
      </c>
      <c r="U108" s="176">
        <f t="shared" si="44"/>
        <v>0</v>
      </c>
      <c r="V108" s="176">
        <f t="shared" si="45"/>
        <v>0</v>
      </c>
      <c r="W108" s="226"/>
      <c r="X108" s="247"/>
      <c r="Y108" s="176">
        <v>0</v>
      </c>
      <c r="Z108" s="176">
        <v>0</v>
      </c>
      <c r="AA108" s="176">
        <v>0</v>
      </c>
      <c r="AB108" s="176">
        <v>0</v>
      </c>
      <c r="AC108" s="176">
        <v>0</v>
      </c>
      <c r="AD108" s="176">
        <f t="shared" si="46"/>
        <v>0</v>
      </c>
      <c r="AE108" s="247">
        <f t="shared" si="47"/>
        <v>0</v>
      </c>
      <c r="AF108" s="226"/>
      <c r="AG108" s="247">
        <v>0</v>
      </c>
      <c r="AH108" s="247">
        <v>0</v>
      </c>
      <c r="AI108" s="247">
        <v>0</v>
      </c>
      <c r="AJ108" s="226"/>
      <c r="AK108" s="247">
        <f t="shared" si="48"/>
        <v>0</v>
      </c>
      <c r="AL108" s="247">
        <f t="shared" si="49"/>
        <v>0</v>
      </c>
      <c r="AM108" s="247">
        <f t="shared" si="50"/>
        <v>0</v>
      </c>
      <c r="AN108" s="225"/>
      <c r="AO108" s="225">
        <v>0</v>
      </c>
      <c r="AP108" s="225">
        <v>0</v>
      </c>
      <c r="AQ108" s="225">
        <v>0</v>
      </c>
      <c r="AR108" s="225">
        <v>0</v>
      </c>
      <c r="AS108" s="225">
        <v>0</v>
      </c>
      <c r="AT108" s="225">
        <v>0</v>
      </c>
      <c r="AU108" s="225">
        <v>0</v>
      </c>
      <c r="AV108" s="225">
        <f t="shared" si="51"/>
        <v>0</v>
      </c>
      <c r="AX108" s="225">
        <f t="shared" si="52"/>
        <v>0</v>
      </c>
      <c r="AY108" s="225">
        <f t="shared" si="53"/>
        <v>0</v>
      </c>
      <c r="AZ108" s="225">
        <f t="shared" si="54"/>
        <v>0</v>
      </c>
      <c r="BA108" s="225">
        <f t="shared" si="55"/>
        <v>0</v>
      </c>
      <c r="BB108" s="225">
        <f t="shared" si="56"/>
        <v>0</v>
      </c>
      <c r="BC108" s="225">
        <f t="shared" si="57"/>
        <v>0</v>
      </c>
      <c r="BD108" s="225">
        <f t="shared" si="58"/>
        <v>0</v>
      </c>
      <c r="BE108" s="225">
        <f t="shared" si="59"/>
        <v>0</v>
      </c>
      <c r="BF108" s="225">
        <f t="shared" si="60"/>
        <v>0</v>
      </c>
      <c r="BG108" s="225">
        <f t="shared" si="33"/>
        <v>0</v>
      </c>
      <c r="BH108" s="225">
        <f t="shared" si="34"/>
        <v>0</v>
      </c>
      <c r="BI108" s="225">
        <f t="shared" si="35"/>
        <v>0</v>
      </c>
      <c r="BJ108" s="225">
        <f t="shared" si="36"/>
        <v>0</v>
      </c>
      <c r="BK108" s="225">
        <f t="shared" si="37"/>
        <v>0</v>
      </c>
      <c r="BL108" s="225">
        <f t="shared" si="38"/>
        <v>0</v>
      </c>
      <c r="BM108" s="225">
        <f t="shared" si="39"/>
        <v>0</v>
      </c>
      <c r="BN108" s="225">
        <f t="shared" si="61"/>
        <v>0</v>
      </c>
      <c r="BO108" s="225">
        <f t="shared" si="40"/>
        <v>0</v>
      </c>
      <c r="BP108" s="225"/>
      <c r="BQ108" s="225"/>
      <c r="BR108" s="225"/>
      <c r="BS108" s="225"/>
      <c r="BT108" s="225"/>
      <c r="BU108" s="225"/>
      <c r="BV108" s="225"/>
      <c r="BW108" s="225"/>
      <c r="BY108" s="176"/>
      <c r="BZ108" s="176"/>
      <c r="CA108" s="176"/>
      <c r="CB108" s="176"/>
      <c r="CC108" s="176"/>
      <c r="CD108" s="176"/>
      <c r="CE108" s="176"/>
      <c r="CF108" s="176"/>
      <c r="CH108" s="248"/>
      <c r="CI108" s="248"/>
      <c r="CJ108" s="248"/>
      <c r="CK108" s="248"/>
      <c r="CL108" s="248"/>
      <c r="CM108" s="248"/>
      <c r="CN108" s="248"/>
      <c r="CO108" s="248"/>
      <c r="CQ108" s="248"/>
      <c r="CR108" s="248"/>
      <c r="CS108" s="248"/>
      <c r="CT108" s="248"/>
      <c r="CU108" s="248"/>
      <c r="CV108" s="248"/>
      <c r="CW108" s="248"/>
      <c r="CX108" s="248"/>
      <c r="CY108" s="248"/>
      <c r="DA108" s="248"/>
      <c r="DB108" s="248"/>
      <c r="DC108" s="248"/>
      <c r="DD108" s="248"/>
      <c r="DE108" s="248"/>
      <c r="DF108" s="248"/>
      <c r="DG108" s="248"/>
      <c r="DH108" s="248"/>
      <c r="DJ108" s="179" t="e">
        <f>#REF!+((SUMIFS($F108:$AM108,$F$3:$AM$3,$DJ$7)*80%))+SUMIFS(#REF!,#REF!,$DJ$7)</f>
        <v>#REF!</v>
      </c>
      <c r="DK108" s="179">
        <f t="shared" si="63"/>
        <v>0</v>
      </c>
      <c r="DL108" s="173" t="e">
        <f t="shared" si="62"/>
        <v>#REF!</v>
      </c>
    </row>
    <row r="109" spans="1:116">
      <c r="A109" s="168">
        <v>5407</v>
      </c>
      <c r="B109" s="2">
        <v>137045</v>
      </c>
      <c r="C109" s="2" t="s">
        <v>311</v>
      </c>
      <c r="D109" s="30"/>
      <c r="E109" s="226"/>
      <c r="F109" s="176">
        <v>0</v>
      </c>
      <c r="G109" s="176">
        <v>0</v>
      </c>
      <c r="H109" s="176">
        <v>0</v>
      </c>
      <c r="I109" s="176">
        <v>0</v>
      </c>
      <c r="J109" s="176">
        <v>0</v>
      </c>
      <c r="K109" s="176">
        <v>0</v>
      </c>
      <c r="L109" s="30">
        <f t="shared" si="42"/>
        <v>0</v>
      </c>
      <c r="M109" s="176">
        <f t="shared" si="43"/>
        <v>0</v>
      </c>
      <c r="N109" s="226"/>
      <c r="O109" s="176">
        <v>0</v>
      </c>
      <c r="P109" s="176">
        <v>0</v>
      </c>
      <c r="Q109" s="176">
        <v>0</v>
      </c>
      <c r="R109" s="176">
        <v>0</v>
      </c>
      <c r="S109" s="176">
        <v>0</v>
      </c>
      <c r="T109" s="176">
        <v>0</v>
      </c>
      <c r="U109" s="176">
        <f t="shared" si="44"/>
        <v>0</v>
      </c>
      <c r="V109" s="176">
        <f t="shared" si="45"/>
        <v>0</v>
      </c>
      <c r="W109" s="226"/>
      <c r="X109" s="247"/>
      <c r="Y109" s="176">
        <v>0</v>
      </c>
      <c r="Z109" s="176">
        <v>0</v>
      </c>
      <c r="AA109" s="176">
        <v>0</v>
      </c>
      <c r="AB109" s="176">
        <v>0</v>
      </c>
      <c r="AC109" s="176">
        <v>0</v>
      </c>
      <c r="AD109" s="176">
        <f t="shared" si="46"/>
        <v>0</v>
      </c>
      <c r="AE109" s="247">
        <f t="shared" si="47"/>
        <v>0</v>
      </c>
      <c r="AF109" s="226"/>
      <c r="AG109" s="247">
        <v>0</v>
      </c>
      <c r="AH109" s="247">
        <v>0</v>
      </c>
      <c r="AI109" s="247">
        <v>0</v>
      </c>
      <c r="AJ109" s="226"/>
      <c r="AK109" s="247">
        <f t="shared" si="48"/>
        <v>0</v>
      </c>
      <c r="AL109" s="247">
        <f t="shared" si="49"/>
        <v>0</v>
      </c>
      <c r="AM109" s="247">
        <f t="shared" si="50"/>
        <v>0</v>
      </c>
      <c r="AN109" s="225"/>
      <c r="AO109" s="225">
        <v>0</v>
      </c>
      <c r="AP109" s="225">
        <v>0</v>
      </c>
      <c r="AQ109" s="225">
        <v>0</v>
      </c>
      <c r="AR109" s="225">
        <v>0</v>
      </c>
      <c r="AS109" s="225">
        <v>0</v>
      </c>
      <c r="AT109" s="225">
        <v>0</v>
      </c>
      <c r="AU109" s="225">
        <v>0</v>
      </c>
      <c r="AV109" s="225">
        <f t="shared" si="51"/>
        <v>0</v>
      </c>
      <c r="AX109" s="225">
        <f t="shared" si="52"/>
        <v>0</v>
      </c>
      <c r="AY109" s="225">
        <f t="shared" si="53"/>
        <v>0</v>
      </c>
      <c r="AZ109" s="225">
        <f t="shared" si="54"/>
        <v>0</v>
      </c>
      <c r="BA109" s="225">
        <f t="shared" si="55"/>
        <v>0</v>
      </c>
      <c r="BB109" s="225">
        <f t="shared" si="56"/>
        <v>0</v>
      </c>
      <c r="BC109" s="225">
        <f t="shared" si="57"/>
        <v>0</v>
      </c>
      <c r="BD109" s="225">
        <f t="shared" si="58"/>
        <v>0</v>
      </c>
      <c r="BE109" s="225">
        <f t="shared" si="59"/>
        <v>0</v>
      </c>
      <c r="BF109" s="225">
        <f t="shared" si="60"/>
        <v>0</v>
      </c>
      <c r="BG109" s="225">
        <f t="shared" si="33"/>
        <v>0</v>
      </c>
      <c r="BH109" s="225">
        <f t="shared" si="34"/>
        <v>0</v>
      </c>
      <c r="BI109" s="225">
        <f t="shared" si="35"/>
        <v>0</v>
      </c>
      <c r="BJ109" s="225">
        <f t="shared" si="36"/>
        <v>0</v>
      </c>
      <c r="BK109" s="225">
        <f t="shared" si="37"/>
        <v>0</v>
      </c>
      <c r="BL109" s="225">
        <f t="shared" si="38"/>
        <v>0</v>
      </c>
      <c r="BM109" s="225">
        <f t="shared" si="39"/>
        <v>0</v>
      </c>
      <c r="BN109" s="225">
        <f t="shared" si="61"/>
        <v>0</v>
      </c>
      <c r="BO109" s="225">
        <f t="shared" si="40"/>
        <v>0</v>
      </c>
      <c r="BP109" s="225"/>
      <c r="BQ109" s="225"/>
      <c r="BR109" s="225"/>
      <c r="BS109" s="225"/>
      <c r="BT109" s="225"/>
      <c r="BU109" s="225"/>
      <c r="BV109" s="225"/>
      <c r="BW109" s="225"/>
      <c r="BY109" s="176"/>
      <c r="BZ109" s="176"/>
      <c r="CA109" s="176"/>
      <c r="CB109" s="176"/>
      <c r="CC109" s="176"/>
      <c r="CD109" s="176"/>
      <c r="CE109" s="176"/>
      <c r="CF109" s="176"/>
      <c r="CH109" s="248"/>
      <c r="CI109" s="248"/>
      <c r="CJ109" s="248"/>
      <c r="CK109" s="248"/>
      <c r="CL109" s="248"/>
      <c r="CM109" s="248"/>
      <c r="CN109" s="248"/>
      <c r="CO109" s="248"/>
      <c r="CQ109" s="248"/>
      <c r="CR109" s="248"/>
      <c r="CS109" s="248"/>
      <c r="CT109" s="248"/>
      <c r="CU109" s="248"/>
      <c r="CV109" s="248"/>
      <c r="CW109" s="248"/>
      <c r="CX109" s="248"/>
      <c r="CY109" s="248"/>
      <c r="DA109" s="248"/>
      <c r="DB109" s="248"/>
      <c r="DC109" s="248"/>
      <c r="DD109" s="248"/>
      <c r="DE109" s="248"/>
      <c r="DF109" s="248"/>
      <c r="DG109" s="248"/>
      <c r="DH109" s="248"/>
      <c r="DJ109" s="179" t="e">
        <f>#REF!+((SUMIFS($F109:$AM109,$F$3:$AM$3,$DJ$7)*80%))+SUMIFS(#REF!,#REF!,$DJ$7)</f>
        <v>#REF!</v>
      </c>
      <c r="DK109" s="179">
        <f t="shared" si="63"/>
        <v>0</v>
      </c>
      <c r="DL109" s="173" t="e">
        <f t="shared" si="62"/>
        <v>#REF!</v>
      </c>
    </row>
    <row r="110" spans="1:116">
      <c r="A110" s="168">
        <v>5406</v>
      </c>
      <c r="B110" s="2">
        <v>137044</v>
      </c>
      <c r="C110" s="2" t="s">
        <v>312</v>
      </c>
      <c r="D110" s="30"/>
      <c r="E110" s="226"/>
      <c r="F110" s="176">
        <v>0</v>
      </c>
      <c r="G110" s="176">
        <v>0</v>
      </c>
      <c r="H110" s="176">
        <v>0</v>
      </c>
      <c r="I110" s="176">
        <v>0</v>
      </c>
      <c r="J110" s="176">
        <v>0</v>
      </c>
      <c r="K110" s="176">
        <v>0</v>
      </c>
      <c r="L110" s="30">
        <f t="shared" si="42"/>
        <v>0</v>
      </c>
      <c r="M110" s="176">
        <f t="shared" si="43"/>
        <v>0</v>
      </c>
      <c r="N110" s="226"/>
      <c r="O110" s="176">
        <v>0</v>
      </c>
      <c r="P110" s="176">
        <v>0</v>
      </c>
      <c r="Q110" s="176">
        <v>0</v>
      </c>
      <c r="R110" s="176">
        <v>0</v>
      </c>
      <c r="S110" s="176">
        <v>0</v>
      </c>
      <c r="T110" s="176">
        <v>0</v>
      </c>
      <c r="U110" s="176">
        <f t="shared" si="44"/>
        <v>0</v>
      </c>
      <c r="V110" s="176">
        <f t="shared" si="45"/>
        <v>0</v>
      </c>
      <c r="W110" s="226"/>
      <c r="X110" s="247"/>
      <c r="Y110" s="176">
        <v>0</v>
      </c>
      <c r="Z110" s="176">
        <v>0</v>
      </c>
      <c r="AA110" s="176">
        <v>0</v>
      </c>
      <c r="AB110" s="176">
        <v>0</v>
      </c>
      <c r="AC110" s="176">
        <v>0</v>
      </c>
      <c r="AD110" s="176">
        <f t="shared" si="46"/>
        <v>0</v>
      </c>
      <c r="AE110" s="247">
        <f t="shared" si="47"/>
        <v>0</v>
      </c>
      <c r="AF110" s="226"/>
      <c r="AG110" s="247">
        <v>0</v>
      </c>
      <c r="AH110" s="247">
        <v>0</v>
      </c>
      <c r="AI110" s="247">
        <v>0</v>
      </c>
      <c r="AJ110" s="226"/>
      <c r="AK110" s="247">
        <f t="shared" si="48"/>
        <v>0</v>
      </c>
      <c r="AL110" s="247">
        <f t="shared" si="49"/>
        <v>0</v>
      </c>
      <c r="AM110" s="247">
        <f t="shared" si="50"/>
        <v>0</v>
      </c>
      <c r="AN110" s="225"/>
      <c r="AO110" s="225">
        <v>0</v>
      </c>
      <c r="AP110" s="225">
        <v>0</v>
      </c>
      <c r="AQ110" s="225">
        <v>0</v>
      </c>
      <c r="AR110" s="225">
        <v>0</v>
      </c>
      <c r="AS110" s="225">
        <v>0</v>
      </c>
      <c r="AT110" s="225">
        <v>0</v>
      </c>
      <c r="AU110" s="225">
        <v>0</v>
      </c>
      <c r="AV110" s="225">
        <f t="shared" si="51"/>
        <v>0</v>
      </c>
      <c r="AX110" s="225">
        <f t="shared" si="52"/>
        <v>0</v>
      </c>
      <c r="AY110" s="225">
        <f t="shared" si="53"/>
        <v>0</v>
      </c>
      <c r="AZ110" s="225">
        <f t="shared" si="54"/>
        <v>0</v>
      </c>
      <c r="BA110" s="225">
        <f t="shared" si="55"/>
        <v>0</v>
      </c>
      <c r="BB110" s="225">
        <f t="shared" si="56"/>
        <v>0</v>
      </c>
      <c r="BC110" s="225">
        <f t="shared" si="57"/>
        <v>0</v>
      </c>
      <c r="BD110" s="225">
        <f t="shared" si="58"/>
        <v>0</v>
      </c>
      <c r="BE110" s="225">
        <f t="shared" si="59"/>
        <v>0</v>
      </c>
      <c r="BF110" s="225">
        <f t="shared" si="60"/>
        <v>0</v>
      </c>
      <c r="BG110" s="225">
        <f t="shared" si="33"/>
        <v>0</v>
      </c>
      <c r="BH110" s="225">
        <f t="shared" si="34"/>
        <v>0</v>
      </c>
      <c r="BI110" s="225">
        <f t="shared" si="35"/>
        <v>0</v>
      </c>
      <c r="BJ110" s="225">
        <f t="shared" si="36"/>
        <v>0</v>
      </c>
      <c r="BK110" s="225">
        <f t="shared" si="37"/>
        <v>0</v>
      </c>
      <c r="BL110" s="225">
        <f t="shared" si="38"/>
        <v>0</v>
      </c>
      <c r="BM110" s="225">
        <f t="shared" si="39"/>
        <v>0</v>
      </c>
      <c r="BN110" s="225">
        <f t="shared" si="61"/>
        <v>0</v>
      </c>
      <c r="BO110" s="225">
        <f t="shared" si="40"/>
        <v>0</v>
      </c>
      <c r="BP110" s="225"/>
      <c r="BQ110" s="225"/>
      <c r="BR110" s="225"/>
      <c r="BS110" s="225"/>
      <c r="BT110" s="225"/>
      <c r="BU110" s="225"/>
      <c r="BV110" s="225"/>
      <c r="BW110" s="225"/>
      <c r="BY110" s="176"/>
      <c r="BZ110" s="176"/>
      <c r="CA110" s="176"/>
      <c r="CB110" s="176"/>
      <c r="CC110" s="176"/>
      <c r="CD110" s="176"/>
      <c r="CE110" s="176"/>
      <c r="CF110" s="176"/>
      <c r="CH110" s="248"/>
      <c r="CI110" s="248"/>
      <c r="CJ110" s="248"/>
      <c r="CK110" s="248"/>
      <c r="CL110" s="248"/>
      <c r="CM110" s="248"/>
      <c r="CN110" s="248"/>
      <c r="CO110" s="248"/>
      <c r="CQ110" s="248"/>
      <c r="CR110" s="248"/>
      <c r="CS110" s="248"/>
      <c r="CT110" s="248"/>
      <c r="CU110" s="248"/>
      <c r="CV110" s="248"/>
      <c r="CW110" s="248"/>
      <c r="CX110" s="248"/>
      <c r="CY110" s="248"/>
      <c r="DA110" s="248"/>
      <c r="DB110" s="248"/>
      <c r="DC110" s="248"/>
      <c r="DD110" s="248"/>
      <c r="DE110" s="248"/>
      <c r="DF110" s="248"/>
      <c r="DG110" s="248"/>
      <c r="DH110" s="248"/>
      <c r="DJ110" s="179" t="e">
        <f>#REF!+((SUMIFS($F110:$AM110,$F$3:$AM$3,$DJ$7)*80%))+SUMIFS(#REF!,#REF!,$DJ$7)</f>
        <v>#REF!</v>
      </c>
      <c r="DK110" s="179">
        <f t="shared" si="63"/>
        <v>0</v>
      </c>
      <c r="DL110" s="173" t="e">
        <f t="shared" si="62"/>
        <v>#REF!</v>
      </c>
    </row>
    <row r="111" spans="1:116">
      <c r="A111" s="168">
        <v>5405</v>
      </c>
      <c r="B111" s="2">
        <v>137046</v>
      </c>
      <c r="C111" s="2" t="s">
        <v>313</v>
      </c>
      <c r="D111" s="30"/>
      <c r="E111" s="226"/>
      <c r="F111" s="176">
        <v>0</v>
      </c>
      <c r="G111" s="176">
        <v>0</v>
      </c>
      <c r="H111" s="176">
        <v>0</v>
      </c>
      <c r="I111" s="176">
        <v>0</v>
      </c>
      <c r="J111" s="176">
        <v>0</v>
      </c>
      <c r="K111" s="176">
        <v>0</v>
      </c>
      <c r="L111" s="30">
        <f t="shared" si="42"/>
        <v>0</v>
      </c>
      <c r="M111" s="176">
        <f t="shared" si="43"/>
        <v>0</v>
      </c>
      <c r="N111" s="226"/>
      <c r="O111" s="176">
        <v>0</v>
      </c>
      <c r="P111" s="176">
        <v>0</v>
      </c>
      <c r="Q111" s="176">
        <v>0</v>
      </c>
      <c r="R111" s="176">
        <v>0</v>
      </c>
      <c r="S111" s="176">
        <v>0</v>
      </c>
      <c r="T111" s="176">
        <v>0</v>
      </c>
      <c r="U111" s="176">
        <f t="shared" si="44"/>
        <v>0</v>
      </c>
      <c r="V111" s="176">
        <f t="shared" si="45"/>
        <v>0</v>
      </c>
      <c r="W111" s="226"/>
      <c r="X111" s="247"/>
      <c r="Y111" s="176">
        <v>0</v>
      </c>
      <c r="Z111" s="176">
        <v>0</v>
      </c>
      <c r="AA111" s="176">
        <v>0</v>
      </c>
      <c r="AB111" s="176">
        <v>0</v>
      </c>
      <c r="AC111" s="176">
        <v>0</v>
      </c>
      <c r="AD111" s="176">
        <f t="shared" si="46"/>
        <v>0</v>
      </c>
      <c r="AE111" s="247">
        <f t="shared" si="47"/>
        <v>0</v>
      </c>
      <c r="AF111" s="226"/>
      <c r="AG111" s="247">
        <v>0</v>
      </c>
      <c r="AH111" s="247">
        <v>0</v>
      </c>
      <c r="AI111" s="247">
        <v>0</v>
      </c>
      <c r="AJ111" s="226"/>
      <c r="AK111" s="247">
        <f t="shared" si="48"/>
        <v>0</v>
      </c>
      <c r="AL111" s="247">
        <f t="shared" si="49"/>
        <v>0</v>
      </c>
      <c r="AM111" s="247">
        <f t="shared" si="50"/>
        <v>0</v>
      </c>
      <c r="AN111" s="225"/>
      <c r="AO111" s="225">
        <v>0</v>
      </c>
      <c r="AP111" s="225">
        <v>0</v>
      </c>
      <c r="AQ111" s="225">
        <v>0</v>
      </c>
      <c r="AR111" s="225">
        <v>0</v>
      </c>
      <c r="AS111" s="225">
        <v>0</v>
      </c>
      <c r="AT111" s="225">
        <v>0</v>
      </c>
      <c r="AU111" s="225">
        <v>0</v>
      </c>
      <c r="AV111" s="225">
        <f t="shared" si="51"/>
        <v>0</v>
      </c>
      <c r="AX111" s="225">
        <f t="shared" si="52"/>
        <v>0</v>
      </c>
      <c r="AY111" s="225">
        <f t="shared" si="53"/>
        <v>0</v>
      </c>
      <c r="AZ111" s="225">
        <f t="shared" si="54"/>
        <v>0</v>
      </c>
      <c r="BA111" s="225">
        <f t="shared" si="55"/>
        <v>0</v>
      </c>
      <c r="BB111" s="225">
        <f t="shared" si="56"/>
        <v>0</v>
      </c>
      <c r="BC111" s="225">
        <f t="shared" si="57"/>
        <v>0</v>
      </c>
      <c r="BD111" s="225">
        <f t="shared" si="58"/>
        <v>0</v>
      </c>
      <c r="BE111" s="225">
        <f t="shared" si="59"/>
        <v>0</v>
      </c>
      <c r="BF111" s="225">
        <f t="shared" si="60"/>
        <v>0</v>
      </c>
      <c r="BG111" s="225">
        <f t="shared" si="33"/>
        <v>0</v>
      </c>
      <c r="BH111" s="225">
        <f t="shared" si="34"/>
        <v>0</v>
      </c>
      <c r="BI111" s="225">
        <f t="shared" si="35"/>
        <v>0</v>
      </c>
      <c r="BJ111" s="225">
        <f t="shared" si="36"/>
        <v>0</v>
      </c>
      <c r="BK111" s="225">
        <f t="shared" si="37"/>
        <v>0</v>
      </c>
      <c r="BL111" s="225">
        <f t="shared" si="38"/>
        <v>0</v>
      </c>
      <c r="BM111" s="225">
        <f t="shared" si="39"/>
        <v>0</v>
      </c>
      <c r="BN111" s="225">
        <f t="shared" si="61"/>
        <v>0</v>
      </c>
      <c r="BO111" s="225">
        <f t="shared" si="40"/>
        <v>0</v>
      </c>
      <c r="BP111" s="225"/>
      <c r="BQ111" s="225"/>
      <c r="BR111" s="225"/>
      <c r="BS111" s="225"/>
      <c r="BT111" s="225"/>
      <c r="BU111" s="225"/>
      <c r="BV111" s="225"/>
      <c r="BW111" s="225"/>
      <c r="BY111" s="176"/>
      <c r="BZ111" s="176"/>
      <c r="CA111" s="176"/>
      <c r="CB111" s="176"/>
      <c r="CC111" s="176"/>
      <c r="CD111" s="176"/>
      <c r="CE111" s="176"/>
      <c r="CF111" s="176"/>
      <c r="CH111" s="248"/>
      <c r="CI111" s="248"/>
      <c r="CJ111" s="248"/>
      <c r="CK111" s="248"/>
      <c r="CL111" s="248"/>
      <c r="CM111" s="248"/>
      <c r="CN111" s="248"/>
      <c r="CO111" s="248"/>
      <c r="CQ111" s="248"/>
      <c r="CR111" s="248"/>
      <c r="CS111" s="248"/>
      <c r="CT111" s="248"/>
      <c r="CU111" s="248"/>
      <c r="CV111" s="248"/>
      <c r="CW111" s="248"/>
      <c r="CX111" s="248"/>
      <c r="CY111" s="248"/>
      <c r="DA111" s="248"/>
      <c r="DB111" s="248"/>
      <c r="DC111" s="248"/>
      <c r="DD111" s="248"/>
      <c r="DE111" s="248"/>
      <c r="DF111" s="248"/>
      <c r="DG111" s="248"/>
      <c r="DH111" s="248"/>
      <c r="DJ111" s="179" t="e">
        <f>#REF!+((SUMIFS($F111:$AM111,$F$3:$AM$3,$DJ$7)*80%))+SUMIFS(#REF!,#REF!,$DJ$7)</f>
        <v>#REF!</v>
      </c>
      <c r="DK111" s="179">
        <f t="shared" si="63"/>
        <v>0</v>
      </c>
      <c r="DL111" s="173" t="e">
        <f t="shared" si="62"/>
        <v>#REF!</v>
      </c>
    </row>
    <row r="112" spans="1:116">
      <c r="A112" s="168">
        <v>5402</v>
      </c>
      <c r="B112" s="2">
        <v>143562</v>
      </c>
      <c r="C112" s="2" t="s">
        <v>314</v>
      </c>
      <c r="D112" s="30"/>
      <c r="E112" s="226"/>
      <c r="F112" s="176">
        <v>0</v>
      </c>
      <c r="G112" s="176">
        <v>0</v>
      </c>
      <c r="H112" s="176">
        <v>0</v>
      </c>
      <c r="I112" s="176">
        <v>0</v>
      </c>
      <c r="J112" s="176">
        <v>0</v>
      </c>
      <c r="K112" s="176">
        <v>0</v>
      </c>
      <c r="L112" s="30">
        <f t="shared" si="42"/>
        <v>0</v>
      </c>
      <c r="M112" s="176">
        <f t="shared" si="43"/>
        <v>0</v>
      </c>
      <c r="N112" s="226"/>
      <c r="O112" s="176">
        <v>0</v>
      </c>
      <c r="P112" s="176">
        <v>0</v>
      </c>
      <c r="Q112" s="176">
        <v>0</v>
      </c>
      <c r="R112" s="176">
        <v>0</v>
      </c>
      <c r="S112" s="176">
        <v>0</v>
      </c>
      <c r="T112" s="176">
        <v>0</v>
      </c>
      <c r="U112" s="176">
        <f t="shared" si="44"/>
        <v>0</v>
      </c>
      <c r="V112" s="176">
        <f t="shared" si="45"/>
        <v>0</v>
      </c>
      <c r="W112" s="226"/>
      <c r="X112" s="247"/>
      <c r="Y112" s="176">
        <v>0</v>
      </c>
      <c r="Z112" s="176">
        <v>0</v>
      </c>
      <c r="AA112" s="176">
        <v>0</v>
      </c>
      <c r="AB112" s="176">
        <v>0</v>
      </c>
      <c r="AC112" s="176">
        <v>0</v>
      </c>
      <c r="AD112" s="176">
        <f t="shared" si="46"/>
        <v>0</v>
      </c>
      <c r="AE112" s="247">
        <f t="shared" si="47"/>
        <v>0</v>
      </c>
      <c r="AF112" s="226"/>
      <c r="AG112" s="247">
        <v>0</v>
      </c>
      <c r="AH112" s="247">
        <v>0</v>
      </c>
      <c r="AI112" s="247">
        <v>0</v>
      </c>
      <c r="AJ112" s="226"/>
      <c r="AK112" s="247">
        <f t="shared" si="48"/>
        <v>0</v>
      </c>
      <c r="AL112" s="247">
        <f t="shared" si="49"/>
        <v>0</v>
      </c>
      <c r="AM112" s="247">
        <f t="shared" si="50"/>
        <v>0</v>
      </c>
      <c r="AN112" s="225"/>
      <c r="AO112" s="225">
        <v>0</v>
      </c>
      <c r="AP112" s="225">
        <v>0</v>
      </c>
      <c r="AQ112" s="225">
        <v>0</v>
      </c>
      <c r="AR112" s="225">
        <v>0</v>
      </c>
      <c r="AS112" s="225">
        <v>0</v>
      </c>
      <c r="AT112" s="225">
        <v>0</v>
      </c>
      <c r="AU112" s="225">
        <v>0</v>
      </c>
      <c r="AV112" s="225">
        <f t="shared" si="51"/>
        <v>0</v>
      </c>
      <c r="AX112" s="225">
        <f t="shared" si="52"/>
        <v>0</v>
      </c>
      <c r="AY112" s="225">
        <f t="shared" si="53"/>
        <v>0</v>
      </c>
      <c r="AZ112" s="225">
        <f t="shared" si="54"/>
        <v>0</v>
      </c>
      <c r="BA112" s="225">
        <f t="shared" si="55"/>
        <v>0</v>
      </c>
      <c r="BB112" s="225">
        <f t="shared" si="56"/>
        <v>0</v>
      </c>
      <c r="BC112" s="225">
        <f t="shared" si="57"/>
        <v>0</v>
      </c>
      <c r="BD112" s="225">
        <f t="shared" si="58"/>
        <v>0</v>
      </c>
      <c r="BE112" s="225">
        <f t="shared" si="59"/>
        <v>0</v>
      </c>
      <c r="BF112" s="225">
        <f t="shared" si="60"/>
        <v>0</v>
      </c>
      <c r="BG112" s="225">
        <f t="shared" si="33"/>
        <v>0</v>
      </c>
      <c r="BH112" s="225">
        <f t="shared" si="34"/>
        <v>0</v>
      </c>
      <c r="BI112" s="225">
        <f t="shared" si="35"/>
        <v>0</v>
      </c>
      <c r="BJ112" s="225">
        <f t="shared" si="36"/>
        <v>0</v>
      </c>
      <c r="BK112" s="225">
        <f t="shared" si="37"/>
        <v>0</v>
      </c>
      <c r="BL112" s="225">
        <f t="shared" si="38"/>
        <v>0</v>
      </c>
      <c r="BM112" s="225">
        <f t="shared" si="39"/>
        <v>0</v>
      </c>
      <c r="BN112" s="225">
        <f t="shared" si="61"/>
        <v>0</v>
      </c>
      <c r="BO112" s="225">
        <f t="shared" si="40"/>
        <v>0</v>
      </c>
      <c r="BP112" s="225"/>
      <c r="BQ112" s="225"/>
      <c r="BR112" s="225"/>
      <c r="BS112" s="225"/>
      <c r="BT112" s="225"/>
      <c r="BU112" s="225"/>
      <c r="BV112" s="225"/>
      <c r="BW112" s="225"/>
      <c r="BY112" s="176"/>
      <c r="BZ112" s="176"/>
      <c r="CA112" s="176"/>
      <c r="CB112" s="176"/>
      <c r="CC112" s="176"/>
      <c r="CD112" s="176"/>
      <c r="CE112" s="176"/>
      <c r="CF112" s="176"/>
      <c r="CH112" s="248"/>
      <c r="CI112" s="248"/>
      <c r="CJ112" s="248"/>
      <c r="CK112" s="248"/>
      <c r="CL112" s="248"/>
      <c r="CM112" s="248"/>
      <c r="CN112" s="248"/>
      <c r="CO112" s="248"/>
      <c r="CQ112" s="248"/>
      <c r="CR112" s="248"/>
      <c r="CS112" s="248"/>
      <c r="CT112" s="248"/>
      <c r="CU112" s="248"/>
      <c r="CV112" s="248"/>
      <c r="CW112" s="248"/>
      <c r="CX112" s="248"/>
      <c r="CY112" s="248"/>
      <c r="DA112" s="248"/>
      <c r="DB112" s="248"/>
      <c r="DC112" s="248"/>
      <c r="DD112" s="248"/>
      <c r="DE112" s="248"/>
      <c r="DF112" s="248"/>
      <c r="DG112" s="248"/>
      <c r="DH112" s="248"/>
      <c r="DJ112" s="179" t="e">
        <f>#REF!+((SUMIFS($F112:$AM112,$F$3:$AM$3,$DJ$7)*80%))+SUMIFS(#REF!,#REF!,$DJ$7)</f>
        <v>#REF!</v>
      </c>
      <c r="DK112" s="179">
        <f t="shared" si="63"/>
        <v>0</v>
      </c>
      <c r="DL112" s="173" t="e">
        <f t="shared" si="62"/>
        <v>#REF!</v>
      </c>
    </row>
    <row r="113" spans="1:116">
      <c r="A113" s="168">
        <v>5404</v>
      </c>
      <c r="B113" s="2">
        <v>137047</v>
      </c>
      <c r="C113" s="2" t="s">
        <v>315</v>
      </c>
      <c r="D113" s="30"/>
      <c r="E113" s="226"/>
      <c r="F113" s="176">
        <v>0</v>
      </c>
      <c r="G113" s="176">
        <v>0</v>
      </c>
      <c r="H113" s="176">
        <v>0</v>
      </c>
      <c r="I113" s="176">
        <v>0</v>
      </c>
      <c r="J113" s="176">
        <v>0</v>
      </c>
      <c r="K113" s="176">
        <v>0</v>
      </c>
      <c r="L113" s="30">
        <f t="shared" si="42"/>
        <v>0</v>
      </c>
      <c r="M113" s="176">
        <f t="shared" si="43"/>
        <v>0</v>
      </c>
      <c r="N113" s="226"/>
      <c r="O113" s="176">
        <v>0</v>
      </c>
      <c r="P113" s="176">
        <v>0</v>
      </c>
      <c r="Q113" s="176">
        <v>0</v>
      </c>
      <c r="R113" s="176">
        <v>0</v>
      </c>
      <c r="S113" s="176">
        <v>0</v>
      </c>
      <c r="T113" s="176">
        <v>0</v>
      </c>
      <c r="U113" s="176">
        <f t="shared" si="44"/>
        <v>0</v>
      </c>
      <c r="V113" s="176">
        <f t="shared" si="45"/>
        <v>0</v>
      </c>
      <c r="W113" s="226"/>
      <c r="X113" s="247"/>
      <c r="Y113" s="176">
        <v>0</v>
      </c>
      <c r="Z113" s="176">
        <v>0</v>
      </c>
      <c r="AA113" s="176">
        <v>0</v>
      </c>
      <c r="AB113" s="176">
        <v>0</v>
      </c>
      <c r="AC113" s="176">
        <v>0</v>
      </c>
      <c r="AD113" s="176">
        <f t="shared" si="46"/>
        <v>0</v>
      </c>
      <c r="AE113" s="247">
        <f t="shared" si="47"/>
        <v>0</v>
      </c>
      <c r="AF113" s="226"/>
      <c r="AG113" s="247">
        <v>0</v>
      </c>
      <c r="AH113" s="247">
        <v>0</v>
      </c>
      <c r="AI113" s="247">
        <v>0</v>
      </c>
      <c r="AJ113" s="226"/>
      <c r="AK113" s="247">
        <f t="shared" si="48"/>
        <v>0</v>
      </c>
      <c r="AL113" s="247">
        <f t="shared" si="49"/>
        <v>0</v>
      </c>
      <c r="AM113" s="247">
        <f t="shared" si="50"/>
        <v>0</v>
      </c>
      <c r="AN113" s="225"/>
      <c r="AO113" s="225">
        <v>0</v>
      </c>
      <c r="AP113" s="225">
        <v>0</v>
      </c>
      <c r="AQ113" s="225">
        <v>0</v>
      </c>
      <c r="AR113" s="225">
        <v>0</v>
      </c>
      <c r="AS113" s="225">
        <v>0</v>
      </c>
      <c r="AT113" s="225">
        <v>0</v>
      </c>
      <c r="AU113" s="225">
        <v>0</v>
      </c>
      <c r="AV113" s="225">
        <f t="shared" si="51"/>
        <v>0</v>
      </c>
      <c r="AX113" s="225">
        <f t="shared" si="52"/>
        <v>0</v>
      </c>
      <c r="AY113" s="225">
        <f t="shared" si="53"/>
        <v>0</v>
      </c>
      <c r="AZ113" s="225">
        <f t="shared" si="54"/>
        <v>0</v>
      </c>
      <c r="BA113" s="225">
        <f t="shared" si="55"/>
        <v>0</v>
      </c>
      <c r="BB113" s="225">
        <f t="shared" si="56"/>
        <v>0</v>
      </c>
      <c r="BC113" s="225">
        <f t="shared" si="57"/>
        <v>0</v>
      </c>
      <c r="BD113" s="225">
        <f t="shared" si="58"/>
        <v>0</v>
      </c>
      <c r="BE113" s="225">
        <f t="shared" si="59"/>
        <v>0</v>
      </c>
      <c r="BF113" s="225">
        <f t="shared" si="60"/>
        <v>0</v>
      </c>
      <c r="BG113" s="225">
        <f t="shared" si="33"/>
        <v>0</v>
      </c>
      <c r="BH113" s="225">
        <f t="shared" si="34"/>
        <v>0</v>
      </c>
      <c r="BI113" s="225">
        <f t="shared" si="35"/>
        <v>0</v>
      </c>
      <c r="BJ113" s="225">
        <f t="shared" si="36"/>
        <v>0</v>
      </c>
      <c r="BK113" s="225">
        <f t="shared" si="37"/>
        <v>0</v>
      </c>
      <c r="BL113" s="225">
        <f t="shared" si="38"/>
        <v>0</v>
      </c>
      <c r="BM113" s="225">
        <f t="shared" si="39"/>
        <v>0</v>
      </c>
      <c r="BN113" s="225">
        <f t="shared" si="61"/>
        <v>0</v>
      </c>
      <c r="BO113" s="225">
        <f t="shared" si="40"/>
        <v>0</v>
      </c>
      <c r="BP113" s="225"/>
      <c r="BQ113" s="225"/>
      <c r="BR113" s="225"/>
      <c r="BS113" s="225"/>
      <c r="BT113" s="225"/>
      <c r="BU113" s="225"/>
      <c r="BV113" s="225"/>
      <c r="BW113" s="225"/>
      <c r="BY113" s="176"/>
      <c r="BZ113" s="176"/>
      <c r="CA113" s="176"/>
      <c r="CB113" s="176"/>
      <c r="CC113" s="176"/>
      <c r="CD113" s="176"/>
      <c r="CE113" s="176"/>
      <c r="CF113" s="176"/>
      <c r="CH113" s="248"/>
      <c r="CI113" s="248"/>
      <c r="CJ113" s="248"/>
      <c r="CK113" s="248"/>
      <c r="CL113" s="248"/>
      <c r="CM113" s="248"/>
      <c r="CN113" s="248"/>
      <c r="CO113" s="248"/>
      <c r="CQ113" s="248"/>
      <c r="CR113" s="248"/>
      <c r="CS113" s="248"/>
      <c r="CT113" s="248"/>
      <c r="CU113" s="248"/>
      <c r="CV113" s="248"/>
      <c r="CW113" s="248"/>
      <c r="CX113" s="248"/>
      <c r="CY113" s="248"/>
      <c r="DA113" s="248"/>
      <c r="DB113" s="248"/>
      <c r="DC113" s="248"/>
      <c r="DD113" s="248"/>
      <c r="DE113" s="248"/>
      <c r="DF113" s="248"/>
      <c r="DG113" s="248"/>
      <c r="DH113" s="248"/>
      <c r="DJ113" s="179" t="e">
        <f>#REF!+((SUMIFS($F113:$AM113,$F$3:$AM$3,$DJ$7)*80%))+SUMIFS(#REF!,#REF!,$DJ$7)</f>
        <v>#REF!</v>
      </c>
      <c r="DK113" s="179">
        <f t="shared" si="63"/>
        <v>0</v>
      </c>
      <c r="DL113" s="173" t="e">
        <f t="shared" si="62"/>
        <v>#REF!</v>
      </c>
    </row>
    <row r="114" spans="1:116">
      <c r="A114" s="168">
        <v>4207</v>
      </c>
      <c r="B114" s="2">
        <v>138937</v>
      </c>
      <c r="C114" s="2" t="s">
        <v>316</v>
      </c>
      <c r="D114" s="30"/>
      <c r="E114" s="226"/>
      <c r="F114" s="176">
        <v>0</v>
      </c>
      <c r="G114" s="176">
        <v>0</v>
      </c>
      <c r="H114" s="176">
        <v>0</v>
      </c>
      <c r="I114" s="176">
        <v>0</v>
      </c>
      <c r="J114" s="176">
        <v>0</v>
      </c>
      <c r="K114" s="176">
        <v>0</v>
      </c>
      <c r="L114" s="30">
        <f t="shared" si="42"/>
        <v>0</v>
      </c>
      <c r="M114" s="176">
        <f t="shared" si="43"/>
        <v>0</v>
      </c>
      <c r="N114" s="226"/>
      <c r="O114" s="176">
        <v>0</v>
      </c>
      <c r="P114" s="176">
        <v>0</v>
      </c>
      <c r="Q114" s="176">
        <v>0</v>
      </c>
      <c r="R114" s="176">
        <v>0</v>
      </c>
      <c r="S114" s="176">
        <v>0</v>
      </c>
      <c r="T114" s="176">
        <v>0</v>
      </c>
      <c r="U114" s="176">
        <f t="shared" si="44"/>
        <v>0</v>
      </c>
      <c r="V114" s="176">
        <f t="shared" si="45"/>
        <v>0</v>
      </c>
      <c r="W114" s="226"/>
      <c r="X114" s="247"/>
      <c r="Y114" s="176">
        <v>0</v>
      </c>
      <c r="Z114" s="176">
        <v>0</v>
      </c>
      <c r="AA114" s="176">
        <v>0</v>
      </c>
      <c r="AB114" s="176">
        <v>0</v>
      </c>
      <c r="AC114" s="176">
        <v>0</v>
      </c>
      <c r="AD114" s="176">
        <f t="shared" si="46"/>
        <v>0</v>
      </c>
      <c r="AE114" s="247">
        <f t="shared" si="47"/>
        <v>0</v>
      </c>
      <c r="AF114" s="226"/>
      <c r="AG114" s="247">
        <v>0</v>
      </c>
      <c r="AH114" s="247">
        <v>0</v>
      </c>
      <c r="AI114" s="247">
        <v>0</v>
      </c>
      <c r="AJ114" s="226"/>
      <c r="AK114" s="247">
        <f t="shared" si="48"/>
        <v>0</v>
      </c>
      <c r="AL114" s="247">
        <f t="shared" si="49"/>
        <v>0</v>
      </c>
      <c r="AM114" s="247">
        <f t="shared" si="50"/>
        <v>0</v>
      </c>
      <c r="AN114" s="225"/>
      <c r="AO114" s="225">
        <v>0</v>
      </c>
      <c r="AP114" s="225">
        <v>0</v>
      </c>
      <c r="AQ114" s="225">
        <v>0</v>
      </c>
      <c r="AR114" s="225">
        <v>0</v>
      </c>
      <c r="AS114" s="225">
        <v>0</v>
      </c>
      <c r="AT114" s="225">
        <v>0</v>
      </c>
      <c r="AU114" s="225">
        <v>0</v>
      </c>
      <c r="AV114" s="225">
        <f t="shared" si="51"/>
        <v>0</v>
      </c>
      <c r="AX114" s="225">
        <f t="shared" si="52"/>
        <v>0</v>
      </c>
      <c r="AY114" s="225">
        <f t="shared" si="53"/>
        <v>0</v>
      </c>
      <c r="AZ114" s="225">
        <f t="shared" si="54"/>
        <v>0</v>
      </c>
      <c r="BA114" s="225">
        <f t="shared" si="55"/>
        <v>0</v>
      </c>
      <c r="BB114" s="225">
        <f t="shared" si="56"/>
        <v>0</v>
      </c>
      <c r="BC114" s="225">
        <f t="shared" si="57"/>
        <v>0</v>
      </c>
      <c r="BD114" s="225">
        <f t="shared" si="58"/>
        <v>0</v>
      </c>
      <c r="BE114" s="225">
        <f t="shared" si="59"/>
        <v>0</v>
      </c>
      <c r="BF114" s="225">
        <f t="shared" si="60"/>
        <v>0</v>
      </c>
      <c r="BG114" s="225">
        <f t="shared" si="33"/>
        <v>0</v>
      </c>
      <c r="BH114" s="225">
        <f t="shared" si="34"/>
        <v>0</v>
      </c>
      <c r="BI114" s="225">
        <f t="shared" si="35"/>
        <v>0</v>
      </c>
      <c r="BJ114" s="225">
        <f t="shared" si="36"/>
        <v>0</v>
      </c>
      <c r="BK114" s="225">
        <f t="shared" si="37"/>
        <v>0</v>
      </c>
      <c r="BL114" s="225">
        <f t="shared" si="38"/>
        <v>0</v>
      </c>
      <c r="BM114" s="225">
        <f t="shared" si="39"/>
        <v>0</v>
      </c>
      <c r="BN114" s="225">
        <f t="shared" si="61"/>
        <v>0</v>
      </c>
      <c r="BO114" s="225">
        <f t="shared" si="40"/>
        <v>0</v>
      </c>
      <c r="BP114" s="225"/>
      <c r="BQ114" s="225"/>
      <c r="BR114" s="225"/>
      <c r="BS114" s="225"/>
      <c r="BT114" s="225"/>
      <c r="BU114" s="225"/>
      <c r="BV114" s="225"/>
      <c r="BW114" s="225"/>
      <c r="BY114" s="176"/>
      <c r="BZ114" s="176"/>
      <c r="CA114" s="176"/>
      <c r="CB114" s="176"/>
      <c r="CC114" s="176"/>
      <c r="CD114" s="176"/>
      <c r="CE114" s="176"/>
      <c r="CF114" s="176"/>
      <c r="CH114" s="248"/>
      <c r="CI114" s="248"/>
      <c r="CJ114" s="248"/>
      <c r="CK114" s="248"/>
      <c r="CL114" s="248"/>
      <c r="CM114" s="248"/>
      <c r="CN114" s="248"/>
      <c r="CO114" s="248"/>
      <c r="CQ114" s="248"/>
      <c r="CR114" s="248"/>
      <c r="CS114" s="248"/>
      <c r="CT114" s="248"/>
      <c r="CU114" s="248"/>
      <c r="CV114" s="248"/>
      <c r="CW114" s="248"/>
      <c r="CX114" s="248"/>
      <c r="CY114" s="248"/>
      <c r="DA114" s="248"/>
      <c r="DB114" s="248"/>
      <c r="DC114" s="248"/>
      <c r="DD114" s="248"/>
      <c r="DE114" s="248"/>
      <c r="DF114" s="248"/>
      <c r="DG114" s="248"/>
      <c r="DH114" s="248"/>
      <c r="DJ114" s="179" t="e">
        <f>#REF!+((SUMIFS($F114:$AM114,$F$3:$AM$3,$DJ$7)*80%))+SUMIFS(#REF!,#REF!,$DJ$7)</f>
        <v>#REF!</v>
      </c>
      <c r="DK114" s="179">
        <f t="shared" si="63"/>
        <v>0</v>
      </c>
      <c r="DL114" s="173" t="e">
        <f t="shared" si="62"/>
        <v>#REF!</v>
      </c>
    </row>
    <row r="115" spans="1:116">
      <c r="A115" s="168">
        <v>5415</v>
      </c>
      <c r="B115" s="2">
        <v>150320</v>
      </c>
      <c r="C115" s="2" t="s">
        <v>317</v>
      </c>
      <c r="D115" s="30"/>
      <c r="E115" s="226"/>
      <c r="F115" s="176">
        <v>0</v>
      </c>
      <c r="G115" s="176">
        <v>0</v>
      </c>
      <c r="H115" s="176">
        <v>0</v>
      </c>
      <c r="I115" s="176">
        <v>0</v>
      </c>
      <c r="J115" s="176">
        <v>0</v>
      </c>
      <c r="K115" s="176">
        <v>0</v>
      </c>
      <c r="L115" s="30">
        <f t="shared" si="42"/>
        <v>0</v>
      </c>
      <c r="M115" s="176">
        <f t="shared" si="43"/>
        <v>0</v>
      </c>
      <c r="N115" s="226"/>
      <c r="O115" s="176">
        <v>0</v>
      </c>
      <c r="P115" s="176">
        <v>0</v>
      </c>
      <c r="Q115" s="176">
        <v>0</v>
      </c>
      <c r="R115" s="176">
        <v>0</v>
      </c>
      <c r="S115" s="176">
        <v>0</v>
      </c>
      <c r="T115" s="176">
        <v>0</v>
      </c>
      <c r="U115" s="176">
        <f t="shared" si="44"/>
        <v>0</v>
      </c>
      <c r="V115" s="176">
        <f t="shared" si="45"/>
        <v>0</v>
      </c>
      <c r="W115" s="226"/>
      <c r="X115" s="247"/>
      <c r="Y115" s="176">
        <v>0</v>
      </c>
      <c r="Z115" s="176">
        <v>0</v>
      </c>
      <c r="AA115" s="176">
        <v>0</v>
      </c>
      <c r="AB115" s="176">
        <v>0</v>
      </c>
      <c r="AC115" s="176">
        <v>0</v>
      </c>
      <c r="AD115" s="176">
        <f t="shared" si="46"/>
        <v>0</v>
      </c>
      <c r="AE115" s="247">
        <f t="shared" si="47"/>
        <v>0</v>
      </c>
      <c r="AF115" s="226"/>
      <c r="AG115" s="247">
        <v>0</v>
      </c>
      <c r="AH115" s="247">
        <v>0</v>
      </c>
      <c r="AI115" s="247">
        <v>0</v>
      </c>
      <c r="AJ115" s="226"/>
      <c r="AK115" s="247">
        <f t="shared" si="48"/>
        <v>0</v>
      </c>
      <c r="AL115" s="247">
        <f t="shared" si="49"/>
        <v>0</v>
      </c>
      <c r="AM115" s="247">
        <f t="shared" si="50"/>
        <v>0</v>
      </c>
      <c r="AN115" s="225"/>
      <c r="AO115" s="225">
        <v>0</v>
      </c>
      <c r="AP115" s="225">
        <v>0</v>
      </c>
      <c r="AQ115" s="225">
        <v>0</v>
      </c>
      <c r="AR115" s="225">
        <v>0</v>
      </c>
      <c r="AS115" s="225">
        <v>0</v>
      </c>
      <c r="AT115" s="225">
        <v>0</v>
      </c>
      <c r="AU115" s="225">
        <v>0</v>
      </c>
      <c r="AV115" s="225">
        <f t="shared" si="51"/>
        <v>0</v>
      </c>
      <c r="AX115" s="225">
        <f t="shared" si="52"/>
        <v>0</v>
      </c>
      <c r="AY115" s="225">
        <f t="shared" si="53"/>
        <v>0</v>
      </c>
      <c r="AZ115" s="225">
        <f t="shared" si="54"/>
        <v>0</v>
      </c>
      <c r="BA115" s="225">
        <f t="shared" si="55"/>
        <v>0</v>
      </c>
      <c r="BB115" s="225">
        <f t="shared" si="56"/>
        <v>0</v>
      </c>
      <c r="BC115" s="225">
        <f t="shared" si="57"/>
        <v>0</v>
      </c>
      <c r="BD115" s="225">
        <f t="shared" si="58"/>
        <v>0</v>
      </c>
      <c r="BE115" s="225">
        <f t="shared" si="59"/>
        <v>0</v>
      </c>
      <c r="BF115" s="225">
        <f t="shared" si="60"/>
        <v>0</v>
      </c>
      <c r="BG115" s="225">
        <f t="shared" si="33"/>
        <v>0</v>
      </c>
      <c r="BH115" s="225">
        <f t="shared" si="34"/>
        <v>0</v>
      </c>
      <c r="BI115" s="225">
        <f t="shared" si="35"/>
        <v>0</v>
      </c>
      <c r="BJ115" s="225">
        <f t="shared" si="36"/>
        <v>0</v>
      </c>
      <c r="BK115" s="225">
        <f t="shared" si="37"/>
        <v>0</v>
      </c>
      <c r="BL115" s="225">
        <f t="shared" si="38"/>
        <v>0</v>
      </c>
      <c r="BM115" s="225">
        <f t="shared" si="39"/>
        <v>0</v>
      </c>
      <c r="BN115" s="225">
        <f t="shared" si="61"/>
        <v>0</v>
      </c>
      <c r="BO115" s="225">
        <f t="shared" si="40"/>
        <v>0</v>
      </c>
      <c r="BP115" s="225"/>
      <c r="BQ115" s="225"/>
      <c r="BR115" s="225"/>
      <c r="BS115" s="225"/>
      <c r="BT115" s="225"/>
      <c r="BU115" s="225"/>
      <c r="BV115" s="225"/>
      <c r="BW115" s="225"/>
      <c r="BY115" s="176"/>
      <c r="BZ115" s="176"/>
      <c r="CA115" s="176"/>
      <c r="CB115" s="176"/>
      <c r="CC115" s="176"/>
      <c r="CD115" s="176"/>
      <c r="CE115" s="176"/>
      <c r="CF115" s="176"/>
      <c r="CH115" s="248"/>
      <c r="CI115" s="248"/>
      <c r="CJ115" s="248"/>
      <c r="CK115" s="248"/>
      <c r="CL115" s="248"/>
      <c r="CM115" s="248"/>
      <c r="CN115" s="248"/>
      <c r="CO115" s="248"/>
      <c r="CQ115" s="248"/>
      <c r="CR115" s="248"/>
      <c r="CS115" s="248"/>
      <c r="CT115" s="248"/>
      <c r="CU115" s="248"/>
      <c r="CV115" s="248"/>
      <c r="CW115" s="248"/>
      <c r="CX115" s="248"/>
      <c r="CY115" s="248"/>
      <c r="DA115" s="248"/>
      <c r="DB115" s="248"/>
      <c r="DC115" s="248"/>
      <c r="DD115" s="248"/>
      <c r="DE115" s="248"/>
      <c r="DF115" s="248"/>
      <c r="DG115" s="248"/>
      <c r="DH115" s="248"/>
      <c r="DJ115" s="179" t="e">
        <f>#REF!+((SUMIFS($F115:$AM115,$F$3:$AM$3,$DJ$7)*80%))+SUMIFS(#REF!,#REF!,$DJ$7)</f>
        <v>#REF!</v>
      </c>
      <c r="DK115" s="179">
        <f t="shared" si="63"/>
        <v>0</v>
      </c>
      <c r="DL115" s="173" t="e">
        <f t="shared" si="62"/>
        <v>#REF!</v>
      </c>
    </row>
    <row r="116" spans="1:116">
      <c r="A116" s="168">
        <v>4060</v>
      </c>
      <c r="B116" s="2">
        <v>136592</v>
      </c>
      <c r="C116" s="2" t="s">
        <v>318</v>
      </c>
      <c r="D116" s="30"/>
      <c r="E116" s="226"/>
      <c r="F116" s="176">
        <v>0</v>
      </c>
      <c r="G116" s="176">
        <v>0</v>
      </c>
      <c r="H116" s="176">
        <v>0</v>
      </c>
      <c r="I116" s="176">
        <v>0</v>
      </c>
      <c r="J116" s="176">
        <v>0</v>
      </c>
      <c r="K116" s="176">
        <v>0</v>
      </c>
      <c r="L116" s="30">
        <f t="shared" si="42"/>
        <v>0</v>
      </c>
      <c r="M116" s="176">
        <f t="shared" si="43"/>
        <v>0</v>
      </c>
      <c r="N116" s="226"/>
      <c r="O116" s="176">
        <v>0</v>
      </c>
      <c r="P116" s="176">
        <v>0</v>
      </c>
      <c r="Q116" s="176">
        <v>0</v>
      </c>
      <c r="R116" s="176">
        <v>0</v>
      </c>
      <c r="S116" s="176">
        <v>0</v>
      </c>
      <c r="T116" s="176">
        <v>0</v>
      </c>
      <c r="U116" s="176">
        <f t="shared" si="44"/>
        <v>0</v>
      </c>
      <c r="V116" s="176">
        <f t="shared" si="45"/>
        <v>0</v>
      </c>
      <c r="W116" s="226"/>
      <c r="X116" s="247"/>
      <c r="Y116" s="176">
        <v>0</v>
      </c>
      <c r="Z116" s="176">
        <v>0</v>
      </c>
      <c r="AA116" s="176">
        <v>0</v>
      </c>
      <c r="AB116" s="176">
        <v>0</v>
      </c>
      <c r="AC116" s="176">
        <v>0</v>
      </c>
      <c r="AD116" s="176">
        <f t="shared" si="46"/>
        <v>0</v>
      </c>
      <c r="AE116" s="247">
        <f t="shared" si="47"/>
        <v>0</v>
      </c>
      <c r="AF116" s="226"/>
      <c r="AG116" s="247">
        <v>0</v>
      </c>
      <c r="AH116" s="247">
        <v>0</v>
      </c>
      <c r="AI116" s="247">
        <v>0</v>
      </c>
      <c r="AJ116" s="226"/>
      <c r="AK116" s="247">
        <f t="shared" si="48"/>
        <v>0</v>
      </c>
      <c r="AL116" s="247">
        <f t="shared" si="49"/>
        <v>0</v>
      </c>
      <c r="AM116" s="247">
        <f t="shared" si="50"/>
        <v>0</v>
      </c>
      <c r="AN116" s="225"/>
      <c r="AO116" s="225">
        <v>0</v>
      </c>
      <c r="AP116" s="225">
        <v>0</v>
      </c>
      <c r="AQ116" s="225">
        <v>0</v>
      </c>
      <c r="AR116" s="225">
        <v>0</v>
      </c>
      <c r="AS116" s="225">
        <v>0</v>
      </c>
      <c r="AT116" s="225">
        <v>0</v>
      </c>
      <c r="AU116" s="225">
        <v>0</v>
      </c>
      <c r="AV116" s="225">
        <f t="shared" si="51"/>
        <v>0</v>
      </c>
      <c r="AX116" s="225">
        <f t="shared" si="52"/>
        <v>0</v>
      </c>
      <c r="AY116" s="225">
        <f t="shared" si="53"/>
        <v>0</v>
      </c>
      <c r="AZ116" s="225">
        <f t="shared" si="54"/>
        <v>0</v>
      </c>
      <c r="BA116" s="225">
        <f t="shared" si="55"/>
        <v>0</v>
      </c>
      <c r="BB116" s="225">
        <f t="shared" si="56"/>
        <v>0</v>
      </c>
      <c r="BC116" s="225">
        <f t="shared" si="57"/>
        <v>0</v>
      </c>
      <c r="BD116" s="225">
        <f t="shared" si="58"/>
        <v>0</v>
      </c>
      <c r="BE116" s="225">
        <f t="shared" si="59"/>
        <v>0</v>
      </c>
      <c r="BF116" s="225">
        <f t="shared" si="60"/>
        <v>0</v>
      </c>
      <c r="BG116" s="225">
        <f t="shared" si="33"/>
        <v>0</v>
      </c>
      <c r="BH116" s="225">
        <f t="shared" si="34"/>
        <v>0</v>
      </c>
      <c r="BI116" s="225">
        <f t="shared" si="35"/>
        <v>0</v>
      </c>
      <c r="BJ116" s="225">
        <f t="shared" si="36"/>
        <v>0</v>
      </c>
      <c r="BK116" s="225">
        <f t="shared" si="37"/>
        <v>0</v>
      </c>
      <c r="BL116" s="225">
        <f t="shared" si="38"/>
        <v>0</v>
      </c>
      <c r="BM116" s="225">
        <f t="shared" si="39"/>
        <v>0</v>
      </c>
      <c r="BN116" s="225">
        <f t="shared" si="61"/>
        <v>0</v>
      </c>
      <c r="BO116" s="225">
        <f t="shared" si="40"/>
        <v>0</v>
      </c>
      <c r="BP116" s="225"/>
      <c r="BQ116" s="225"/>
      <c r="BR116" s="225"/>
      <c r="BS116" s="225"/>
      <c r="BT116" s="225"/>
      <c r="BU116" s="225"/>
      <c r="BV116" s="225"/>
      <c r="BW116" s="225"/>
      <c r="BY116" s="176"/>
      <c r="BZ116" s="176"/>
      <c r="CA116" s="176"/>
      <c r="CB116" s="176"/>
      <c r="CC116" s="176"/>
      <c r="CD116" s="176"/>
      <c r="CE116" s="176"/>
      <c r="CF116" s="176"/>
      <c r="CH116" s="248"/>
      <c r="CI116" s="248"/>
      <c r="CJ116" s="248"/>
      <c r="CK116" s="248"/>
      <c r="CL116" s="248"/>
      <c r="CM116" s="248"/>
      <c r="CN116" s="248"/>
      <c r="CO116" s="248"/>
      <c r="CQ116" s="248"/>
      <c r="CR116" s="248"/>
      <c r="CS116" s="248"/>
      <c r="CT116" s="248"/>
      <c r="CU116" s="248"/>
      <c r="CV116" s="248"/>
      <c r="CW116" s="248"/>
      <c r="CX116" s="248"/>
      <c r="CY116" s="248"/>
      <c r="DA116" s="248"/>
      <c r="DB116" s="248"/>
      <c r="DC116" s="248"/>
      <c r="DD116" s="248"/>
      <c r="DE116" s="248"/>
      <c r="DF116" s="248"/>
      <c r="DG116" s="248"/>
      <c r="DH116" s="248"/>
      <c r="DJ116" s="179" t="e">
        <f>#REF!+((SUMIFS($F116:$AM116,$F$3:$AM$3,$DJ$7)*80%))+SUMIFS(#REF!,#REF!,$DJ$7)</f>
        <v>#REF!</v>
      </c>
      <c r="DK116" s="179">
        <f t="shared" si="63"/>
        <v>0</v>
      </c>
      <c r="DL116" s="173" t="e">
        <f t="shared" si="62"/>
        <v>#REF!</v>
      </c>
    </row>
    <row r="117" spans="1:116">
      <c r="A117" s="168">
        <v>4187</v>
      </c>
      <c r="B117" s="2">
        <v>148684</v>
      </c>
      <c r="C117" s="2" t="s">
        <v>319</v>
      </c>
      <c r="D117" s="30"/>
      <c r="E117" s="226"/>
      <c r="F117" s="176">
        <v>0</v>
      </c>
      <c r="G117" s="176">
        <v>0</v>
      </c>
      <c r="H117" s="176">
        <v>0</v>
      </c>
      <c r="I117" s="176">
        <v>0</v>
      </c>
      <c r="J117" s="176">
        <v>0</v>
      </c>
      <c r="K117" s="176">
        <v>0</v>
      </c>
      <c r="L117" s="30">
        <f t="shared" si="42"/>
        <v>0</v>
      </c>
      <c r="M117" s="176">
        <f t="shared" si="43"/>
        <v>0</v>
      </c>
      <c r="N117" s="226"/>
      <c r="O117" s="176">
        <v>0</v>
      </c>
      <c r="P117" s="176">
        <v>0</v>
      </c>
      <c r="Q117" s="176">
        <v>0</v>
      </c>
      <c r="R117" s="176">
        <v>0</v>
      </c>
      <c r="S117" s="176">
        <v>0</v>
      </c>
      <c r="T117" s="176">
        <v>0</v>
      </c>
      <c r="U117" s="176">
        <f t="shared" si="44"/>
        <v>0</v>
      </c>
      <c r="V117" s="176">
        <f t="shared" si="45"/>
        <v>0</v>
      </c>
      <c r="W117" s="226"/>
      <c r="X117" s="247"/>
      <c r="Y117" s="176">
        <v>0</v>
      </c>
      <c r="Z117" s="176">
        <v>0</v>
      </c>
      <c r="AA117" s="176">
        <v>0</v>
      </c>
      <c r="AB117" s="176">
        <v>0</v>
      </c>
      <c r="AC117" s="176">
        <v>0</v>
      </c>
      <c r="AD117" s="176">
        <f t="shared" si="46"/>
        <v>0</v>
      </c>
      <c r="AE117" s="247">
        <f t="shared" si="47"/>
        <v>0</v>
      </c>
      <c r="AF117" s="226"/>
      <c r="AG117" s="247">
        <v>0</v>
      </c>
      <c r="AH117" s="247">
        <v>0</v>
      </c>
      <c r="AI117" s="247">
        <v>0</v>
      </c>
      <c r="AJ117" s="226"/>
      <c r="AK117" s="247">
        <f t="shared" si="48"/>
        <v>0</v>
      </c>
      <c r="AL117" s="247">
        <f t="shared" si="49"/>
        <v>0</v>
      </c>
      <c r="AM117" s="247">
        <f t="shared" si="50"/>
        <v>0</v>
      </c>
      <c r="AN117" s="225"/>
      <c r="AO117" s="225">
        <v>0</v>
      </c>
      <c r="AP117" s="225">
        <v>0</v>
      </c>
      <c r="AQ117" s="225">
        <v>0</v>
      </c>
      <c r="AR117" s="225">
        <v>0</v>
      </c>
      <c r="AS117" s="225">
        <v>0</v>
      </c>
      <c r="AT117" s="225">
        <v>0</v>
      </c>
      <c r="AU117" s="225">
        <v>0</v>
      </c>
      <c r="AV117" s="225">
        <f t="shared" si="51"/>
        <v>0</v>
      </c>
      <c r="AX117" s="225">
        <f t="shared" si="52"/>
        <v>0</v>
      </c>
      <c r="AY117" s="225">
        <f t="shared" si="53"/>
        <v>0</v>
      </c>
      <c r="AZ117" s="225">
        <f t="shared" si="54"/>
        <v>0</v>
      </c>
      <c r="BA117" s="225">
        <f t="shared" si="55"/>
        <v>0</v>
      </c>
      <c r="BB117" s="225">
        <f t="shared" si="56"/>
        <v>0</v>
      </c>
      <c r="BC117" s="225">
        <f t="shared" si="57"/>
        <v>0</v>
      </c>
      <c r="BD117" s="225">
        <f t="shared" si="58"/>
        <v>0</v>
      </c>
      <c r="BE117" s="225">
        <f t="shared" si="59"/>
        <v>0</v>
      </c>
      <c r="BF117" s="225">
        <f t="shared" si="60"/>
        <v>0</v>
      </c>
      <c r="BG117" s="225">
        <f t="shared" si="33"/>
        <v>0</v>
      </c>
      <c r="BH117" s="225">
        <f t="shared" si="34"/>
        <v>0</v>
      </c>
      <c r="BI117" s="225">
        <f t="shared" si="35"/>
        <v>0</v>
      </c>
      <c r="BJ117" s="225">
        <f t="shared" si="36"/>
        <v>0</v>
      </c>
      <c r="BK117" s="225">
        <f t="shared" si="37"/>
        <v>0</v>
      </c>
      <c r="BL117" s="225">
        <f t="shared" si="38"/>
        <v>0</v>
      </c>
      <c r="BM117" s="225">
        <f t="shared" si="39"/>
        <v>0</v>
      </c>
      <c r="BN117" s="225">
        <f t="shared" si="61"/>
        <v>0</v>
      </c>
      <c r="BO117" s="225">
        <f t="shared" si="40"/>
        <v>0</v>
      </c>
      <c r="BP117" s="225"/>
      <c r="BQ117" s="225"/>
      <c r="BR117" s="225"/>
      <c r="BS117" s="225"/>
      <c r="BT117" s="225"/>
      <c r="BU117" s="225"/>
      <c r="BV117" s="225"/>
      <c r="BW117" s="225"/>
      <c r="BY117" s="176"/>
      <c r="BZ117" s="176"/>
      <c r="CA117" s="176"/>
      <c r="CB117" s="176"/>
      <c r="CC117" s="176"/>
      <c r="CD117" s="176"/>
      <c r="CE117" s="176"/>
      <c r="CF117" s="176"/>
      <c r="CH117" s="248"/>
      <c r="CI117" s="248"/>
      <c r="CJ117" s="248"/>
      <c r="CK117" s="248"/>
      <c r="CL117" s="248"/>
      <c r="CM117" s="248"/>
      <c r="CN117" s="248"/>
      <c r="CO117" s="248"/>
      <c r="CQ117" s="248"/>
      <c r="CR117" s="248"/>
      <c r="CS117" s="248"/>
      <c r="CT117" s="248"/>
      <c r="CU117" s="248"/>
      <c r="CV117" s="248"/>
      <c r="CW117" s="248"/>
      <c r="CX117" s="248"/>
      <c r="CY117" s="248"/>
      <c r="DA117" s="248"/>
      <c r="DB117" s="248"/>
      <c r="DC117" s="248"/>
      <c r="DD117" s="248"/>
      <c r="DE117" s="248"/>
      <c r="DF117" s="248"/>
      <c r="DG117" s="248"/>
      <c r="DH117" s="248"/>
      <c r="DJ117" s="179" t="e">
        <f>#REF!+((SUMIFS($F117:$AM117,$F$3:$AM$3,$DJ$7)*80%))+SUMIFS(#REF!,#REF!,$DJ$7)</f>
        <v>#REF!</v>
      </c>
      <c r="DK117" s="179">
        <f t="shared" si="63"/>
        <v>0</v>
      </c>
      <c r="DL117" s="173" t="e">
        <f t="shared" si="62"/>
        <v>#REF!</v>
      </c>
    </row>
    <row r="118" spans="1:116">
      <c r="A118" s="168">
        <v>6906</v>
      </c>
      <c r="B118" s="2">
        <v>136152</v>
      </c>
      <c r="C118" s="2" t="s">
        <v>320</v>
      </c>
      <c r="D118" s="30"/>
      <c r="E118" s="226"/>
      <c r="F118" s="176">
        <v>0</v>
      </c>
      <c r="G118" s="176">
        <v>0</v>
      </c>
      <c r="H118" s="176">
        <v>0</v>
      </c>
      <c r="I118" s="176">
        <v>0</v>
      </c>
      <c r="J118" s="176">
        <v>0</v>
      </c>
      <c r="K118" s="176">
        <v>0</v>
      </c>
      <c r="L118" s="30">
        <f t="shared" si="42"/>
        <v>0</v>
      </c>
      <c r="M118" s="176">
        <f t="shared" si="43"/>
        <v>0</v>
      </c>
      <c r="N118" s="226"/>
      <c r="O118" s="176">
        <v>0</v>
      </c>
      <c r="P118" s="176">
        <v>0</v>
      </c>
      <c r="Q118" s="176">
        <v>0</v>
      </c>
      <c r="R118" s="176">
        <v>0</v>
      </c>
      <c r="S118" s="176">
        <v>0</v>
      </c>
      <c r="T118" s="176">
        <v>0</v>
      </c>
      <c r="U118" s="176">
        <f t="shared" si="44"/>
        <v>0</v>
      </c>
      <c r="V118" s="176">
        <f t="shared" si="45"/>
        <v>0</v>
      </c>
      <c r="W118" s="226"/>
      <c r="X118" s="247"/>
      <c r="Y118" s="176">
        <v>0</v>
      </c>
      <c r="Z118" s="176">
        <v>0</v>
      </c>
      <c r="AA118" s="176">
        <v>0</v>
      </c>
      <c r="AB118" s="176">
        <v>0</v>
      </c>
      <c r="AC118" s="176">
        <v>0</v>
      </c>
      <c r="AD118" s="176">
        <f t="shared" si="46"/>
        <v>0</v>
      </c>
      <c r="AE118" s="247">
        <f t="shared" si="47"/>
        <v>0</v>
      </c>
      <c r="AF118" s="226"/>
      <c r="AG118" s="247">
        <v>0</v>
      </c>
      <c r="AH118" s="247">
        <v>0</v>
      </c>
      <c r="AI118" s="247">
        <v>0</v>
      </c>
      <c r="AJ118" s="226"/>
      <c r="AK118" s="247">
        <f t="shared" si="48"/>
        <v>0</v>
      </c>
      <c r="AL118" s="247">
        <f t="shared" si="49"/>
        <v>0</v>
      </c>
      <c r="AM118" s="247">
        <f t="shared" si="50"/>
        <v>0</v>
      </c>
      <c r="AN118" s="225"/>
      <c r="AO118" s="225">
        <v>0</v>
      </c>
      <c r="AP118" s="225">
        <v>0</v>
      </c>
      <c r="AQ118" s="225">
        <v>0</v>
      </c>
      <c r="AR118" s="225">
        <v>0</v>
      </c>
      <c r="AS118" s="225">
        <v>0</v>
      </c>
      <c r="AT118" s="225">
        <v>0</v>
      </c>
      <c r="AU118" s="225">
        <v>0</v>
      </c>
      <c r="AV118" s="225">
        <f t="shared" si="51"/>
        <v>0</v>
      </c>
      <c r="AX118" s="225">
        <f t="shared" si="52"/>
        <v>0</v>
      </c>
      <c r="AY118" s="225">
        <f t="shared" si="53"/>
        <v>0</v>
      </c>
      <c r="AZ118" s="225">
        <f t="shared" si="54"/>
        <v>0</v>
      </c>
      <c r="BA118" s="225">
        <f t="shared" si="55"/>
        <v>0</v>
      </c>
      <c r="BB118" s="225">
        <f t="shared" si="56"/>
        <v>0</v>
      </c>
      <c r="BC118" s="225">
        <f t="shared" si="57"/>
        <v>0</v>
      </c>
      <c r="BD118" s="225">
        <f t="shared" si="58"/>
        <v>0</v>
      </c>
      <c r="BE118" s="225">
        <f t="shared" si="59"/>
        <v>0</v>
      </c>
      <c r="BF118" s="225">
        <f t="shared" si="60"/>
        <v>0</v>
      </c>
      <c r="BG118" s="225">
        <f t="shared" si="33"/>
        <v>0</v>
      </c>
      <c r="BH118" s="225">
        <f t="shared" si="34"/>
        <v>0</v>
      </c>
      <c r="BI118" s="225">
        <f t="shared" si="35"/>
        <v>0</v>
      </c>
      <c r="BJ118" s="225">
        <f t="shared" si="36"/>
        <v>0</v>
      </c>
      <c r="BK118" s="225">
        <f t="shared" si="37"/>
        <v>0</v>
      </c>
      <c r="BL118" s="225">
        <f t="shared" si="38"/>
        <v>0</v>
      </c>
      <c r="BM118" s="225">
        <f t="shared" si="39"/>
        <v>0</v>
      </c>
      <c r="BN118" s="225">
        <f t="shared" si="61"/>
        <v>0</v>
      </c>
      <c r="BO118" s="225">
        <f t="shared" si="40"/>
        <v>0</v>
      </c>
      <c r="BP118" s="225"/>
      <c r="BQ118" s="225"/>
      <c r="BR118" s="225"/>
      <c r="BS118" s="225"/>
      <c r="BT118" s="225"/>
      <c r="BU118" s="225"/>
      <c r="BV118" s="225"/>
      <c r="BW118" s="225"/>
      <c r="BY118" s="176"/>
      <c r="BZ118" s="176"/>
      <c r="CA118" s="176"/>
      <c r="CB118" s="176"/>
      <c r="CC118" s="176"/>
      <c r="CD118" s="176"/>
      <c r="CE118" s="176"/>
      <c r="CF118" s="176"/>
      <c r="CH118" s="248"/>
      <c r="CI118" s="248"/>
      <c r="CJ118" s="248"/>
      <c r="CK118" s="248"/>
      <c r="CL118" s="248"/>
      <c r="CM118" s="248"/>
      <c r="CN118" s="248"/>
      <c r="CO118" s="248"/>
      <c r="CQ118" s="248"/>
      <c r="CR118" s="248"/>
      <c r="CS118" s="248"/>
      <c r="CT118" s="248"/>
      <c r="CU118" s="248"/>
      <c r="CV118" s="248"/>
      <c r="CW118" s="248"/>
      <c r="CX118" s="248"/>
      <c r="CY118" s="248"/>
      <c r="DA118" s="248"/>
      <c r="DB118" s="248"/>
      <c r="DC118" s="248"/>
      <c r="DD118" s="248"/>
      <c r="DE118" s="248"/>
      <c r="DF118" s="248"/>
      <c r="DG118" s="248"/>
      <c r="DH118" s="248"/>
      <c r="DJ118" s="179" t="e">
        <f>#REF!+((SUMIFS($F118:$AM118,$F$3:$AM$3,$DJ$7)*80%))+SUMIFS(#REF!,#REF!,$DJ$7)</f>
        <v>#REF!</v>
      </c>
      <c r="DK118" s="179">
        <f t="shared" si="63"/>
        <v>0</v>
      </c>
      <c r="DL118" s="173" t="e">
        <f t="shared" si="62"/>
        <v>#REF!</v>
      </c>
    </row>
    <row r="119" spans="1:116">
      <c r="A119" s="168">
        <v>5414</v>
      </c>
      <c r="B119" s="2">
        <v>136590</v>
      </c>
      <c r="C119" s="2" t="s">
        <v>321</v>
      </c>
      <c r="D119" s="30"/>
      <c r="E119" s="226"/>
      <c r="F119" s="176">
        <v>0</v>
      </c>
      <c r="G119" s="176">
        <v>0</v>
      </c>
      <c r="H119" s="176">
        <v>0</v>
      </c>
      <c r="I119" s="176">
        <v>0</v>
      </c>
      <c r="J119" s="176">
        <v>0</v>
      </c>
      <c r="K119" s="176">
        <v>0</v>
      </c>
      <c r="L119" s="30">
        <f t="shared" si="42"/>
        <v>0</v>
      </c>
      <c r="M119" s="176">
        <f t="shared" si="43"/>
        <v>0</v>
      </c>
      <c r="N119" s="226"/>
      <c r="O119" s="176">
        <v>0</v>
      </c>
      <c r="P119" s="176">
        <v>0</v>
      </c>
      <c r="Q119" s="176">
        <v>0</v>
      </c>
      <c r="R119" s="176">
        <v>0</v>
      </c>
      <c r="S119" s="176">
        <v>0</v>
      </c>
      <c r="T119" s="176">
        <v>0</v>
      </c>
      <c r="U119" s="176">
        <f t="shared" si="44"/>
        <v>0</v>
      </c>
      <c r="V119" s="176">
        <f t="shared" si="45"/>
        <v>0</v>
      </c>
      <c r="W119" s="226"/>
      <c r="X119" s="247"/>
      <c r="Y119" s="176">
        <v>0</v>
      </c>
      <c r="Z119" s="176">
        <v>0</v>
      </c>
      <c r="AA119" s="176">
        <v>0</v>
      </c>
      <c r="AB119" s="176">
        <v>0</v>
      </c>
      <c r="AC119" s="176">
        <v>0</v>
      </c>
      <c r="AD119" s="176">
        <f t="shared" si="46"/>
        <v>0</v>
      </c>
      <c r="AE119" s="247">
        <f t="shared" si="47"/>
        <v>0</v>
      </c>
      <c r="AF119" s="226"/>
      <c r="AG119" s="247">
        <v>0</v>
      </c>
      <c r="AH119" s="247">
        <v>0</v>
      </c>
      <c r="AI119" s="247">
        <v>0</v>
      </c>
      <c r="AJ119" s="226"/>
      <c r="AK119" s="247">
        <f t="shared" si="48"/>
        <v>0</v>
      </c>
      <c r="AL119" s="247">
        <f t="shared" si="49"/>
        <v>0</v>
      </c>
      <c r="AM119" s="247">
        <f t="shared" si="50"/>
        <v>0</v>
      </c>
      <c r="AN119" s="225"/>
      <c r="AO119" s="225">
        <v>0</v>
      </c>
      <c r="AP119" s="225">
        <v>0</v>
      </c>
      <c r="AQ119" s="225">
        <v>0</v>
      </c>
      <c r="AR119" s="225">
        <v>0</v>
      </c>
      <c r="AS119" s="225">
        <v>0</v>
      </c>
      <c r="AT119" s="225">
        <v>0</v>
      </c>
      <c r="AU119" s="225">
        <v>0</v>
      </c>
      <c r="AV119" s="225">
        <f t="shared" si="51"/>
        <v>0</v>
      </c>
      <c r="AX119" s="225">
        <f t="shared" si="52"/>
        <v>0</v>
      </c>
      <c r="AY119" s="225">
        <f t="shared" si="53"/>
        <v>0</v>
      </c>
      <c r="AZ119" s="225">
        <f t="shared" si="54"/>
        <v>0</v>
      </c>
      <c r="BA119" s="225">
        <f t="shared" si="55"/>
        <v>0</v>
      </c>
      <c r="BB119" s="225">
        <f t="shared" si="56"/>
        <v>0</v>
      </c>
      <c r="BC119" s="225">
        <f t="shared" si="57"/>
        <v>0</v>
      </c>
      <c r="BD119" s="225">
        <f t="shared" si="58"/>
        <v>0</v>
      </c>
      <c r="BE119" s="225">
        <f t="shared" si="59"/>
        <v>0</v>
      </c>
      <c r="BF119" s="225">
        <f t="shared" si="60"/>
        <v>0</v>
      </c>
      <c r="BG119" s="225">
        <f t="shared" si="33"/>
        <v>0</v>
      </c>
      <c r="BH119" s="225">
        <f t="shared" si="34"/>
        <v>0</v>
      </c>
      <c r="BI119" s="225">
        <f t="shared" si="35"/>
        <v>0</v>
      </c>
      <c r="BJ119" s="225">
        <f t="shared" si="36"/>
        <v>0</v>
      </c>
      <c r="BK119" s="225">
        <f t="shared" si="37"/>
        <v>0</v>
      </c>
      <c r="BL119" s="225">
        <f t="shared" si="38"/>
        <v>0</v>
      </c>
      <c r="BM119" s="225">
        <f t="shared" si="39"/>
        <v>0</v>
      </c>
      <c r="BN119" s="225">
        <f t="shared" si="61"/>
        <v>0</v>
      </c>
      <c r="BO119" s="225">
        <f t="shared" si="40"/>
        <v>0</v>
      </c>
      <c r="BP119" s="225"/>
      <c r="BQ119" s="225"/>
      <c r="BR119" s="225"/>
      <c r="BS119" s="225"/>
      <c r="BT119" s="225"/>
      <c r="BU119" s="225"/>
      <c r="BV119" s="225"/>
      <c r="BW119" s="225"/>
      <c r="BY119" s="176"/>
      <c r="BZ119" s="176"/>
      <c r="CA119" s="176"/>
      <c r="CB119" s="176"/>
      <c r="CC119" s="176"/>
      <c r="CD119" s="176"/>
      <c r="CE119" s="176"/>
      <c r="CF119" s="176"/>
      <c r="CH119" s="248"/>
      <c r="CI119" s="248"/>
      <c r="CJ119" s="248"/>
      <c r="CK119" s="248"/>
      <c r="CL119" s="248"/>
      <c r="CM119" s="248"/>
      <c r="CN119" s="248"/>
      <c r="CO119" s="248"/>
      <c r="CQ119" s="248"/>
      <c r="CR119" s="248"/>
      <c r="CS119" s="248"/>
      <c r="CT119" s="248"/>
      <c r="CU119" s="248"/>
      <c r="CV119" s="248"/>
      <c r="CW119" s="248"/>
      <c r="CX119" s="248"/>
      <c r="CY119" s="248"/>
      <c r="DA119" s="248"/>
      <c r="DB119" s="248"/>
      <c r="DC119" s="248"/>
      <c r="DD119" s="248"/>
      <c r="DE119" s="248"/>
      <c r="DF119" s="248"/>
      <c r="DG119" s="248"/>
      <c r="DH119" s="248"/>
      <c r="DJ119" s="179" t="e">
        <f>#REF!+((SUMIFS($F119:$AM119,$F$3:$AM$3,$DJ$7)*80%))+SUMIFS(#REF!,#REF!,$DJ$7)</f>
        <v>#REF!</v>
      </c>
      <c r="DK119" s="179">
        <f t="shared" si="63"/>
        <v>0</v>
      </c>
      <c r="DL119" s="173" t="e">
        <f t="shared" si="62"/>
        <v>#REF!</v>
      </c>
    </row>
    <row r="120" spans="1:116">
      <c r="A120" s="168">
        <v>2209</v>
      </c>
      <c r="B120" s="2">
        <v>149131</v>
      </c>
      <c r="C120" s="2" t="s">
        <v>322</v>
      </c>
      <c r="D120" s="30"/>
      <c r="E120" s="226"/>
      <c r="F120" s="176">
        <v>0</v>
      </c>
      <c r="G120" s="176">
        <v>0</v>
      </c>
      <c r="H120" s="176">
        <v>0</v>
      </c>
      <c r="I120" s="176">
        <v>0</v>
      </c>
      <c r="J120" s="176">
        <v>0</v>
      </c>
      <c r="K120" s="176">
        <v>0</v>
      </c>
      <c r="L120" s="30">
        <f t="shared" si="42"/>
        <v>0</v>
      </c>
      <c r="M120" s="176">
        <f t="shared" si="43"/>
        <v>0</v>
      </c>
      <c r="N120" s="226"/>
      <c r="O120" s="176">
        <v>0</v>
      </c>
      <c r="P120" s="176">
        <v>0</v>
      </c>
      <c r="Q120" s="176">
        <v>0</v>
      </c>
      <c r="R120" s="176">
        <v>0</v>
      </c>
      <c r="S120" s="176">
        <v>0</v>
      </c>
      <c r="T120" s="176">
        <v>0</v>
      </c>
      <c r="U120" s="176">
        <f t="shared" si="44"/>
        <v>0</v>
      </c>
      <c r="V120" s="176">
        <f t="shared" si="45"/>
        <v>0</v>
      </c>
      <c r="W120" s="226"/>
      <c r="X120" s="247"/>
      <c r="Y120" s="176">
        <v>0</v>
      </c>
      <c r="Z120" s="176">
        <v>0</v>
      </c>
      <c r="AA120" s="176">
        <v>0</v>
      </c>
      <c r="AB120" s="176">
        <v>0</v>
      </c>
      <c r="AC120" s="176">
        <v>0</v>
      </c>
      <c r="AD120" s="176">
        <f t="shared" si="46"/>
        <v>0</v>
      </c>
      <c r="AE120" s="247">
        <f t="shared" si="47"/>
        <v>0</v>
      </c>
      <c r="AF120" s="226"/>
      <c r="AG120" s="247">
        <v>0</v>
      </c>
      <c r="AH120" s="247">
        <v>0</v>
      </c>
      <c r="AI120" s="247">
        <v>0</v>
      </c>
      <c r="AJ120" s="226"/>
      <c r="AK120" s="247">
        <f t="shared" si="48"/>
        <v>0</v>
      </c>
      <c r="AL120" s="247">
        <f t="shared" si="49"/>
        <v>0</v>
      </c>
      <c r="AM120" s="247">
        <f t="shared" si="50"/>
        <v>0</v>
      </c>
      <c r="AN120" s="225"/>
      <c r="AO120" s="225">
        <v>0</v>
      </c>
      <c r="AP120" s="225">
        <v>0</v>
      </c>
      <c r="AQ120" s="225">
        <v>0</v>
      </c>
      <c r="AR120" s="225">
        <v>0</v>
      </c>
      <c r="AS120" s="225">
        <v>0</v>
      </c>
      <c r="AT120" s="225">
        <v>0</v>
      </c>
      <c r="AU120" s="225">
        <v>0</v>
      </c>
      <c r="AV120" s="225">
        <f t="shared" si="51"/>
        <v>0</v>
      </c>
      <c r="AX120" s="225">
        <f t="shared" si="52"/>
        <v>0</v>
      </c>
      <c r="AY120" s="225">
        <f t="shared" si="53"/>
        <v>0</v>
      </c>
      <c r="AZ120" s="225">
        <f t="shared" si="54"/>
        <v>0</v>
      </c>
      <c r="BA120" s="225">
        <f t="shared" si="55"/>
        <v>0</v>
      </c>
      <c r="BB120" s="225">
        <f t="shared" si="56"/>
        <v>0</v>
      </c>
      <c r="BC120" s="225">
        <f t="shared" si="57"/>
        <v>0</v>
      </c>
      <c r="BD120" s="225">
        <f t="shared" si="58"/>
        <v>0</v>
      </c>
      <c r="BE120" s="225">
        <f t="shared" si="59"/>
        <v>0</v>
      </c>
      <c r="BF120" s="225">
        <f t="shared" si="60"/>
        <v>0</v>
      </c>
      <c r="BG120" s="225">
        <f t="shared" si="33"/>
        <v>0</v>
      </c>
      <c r="BH120" s="225">
        <f t="shared" si="34"/>
        <v>0</v>
      </c>
      <c r="BI120" s="225">
        <f t="shared" si="35"/>
        <v>0</v>
      </c>
      <c r="BJ120" s="225">
        <f t="shared" si="36"/>
        <v>0</v>
      </c>
      <c r="BK120" s="225">
        <f t="shared" si="37"/>
        <v>0</v>
      </c>
      <c r="BL120" s="225">
        <f t="shared" si="38"/>
        <v>0</v>
      </c>
      <c r="BM120" s="225">
        <f t="shared" si="39"/>
        <v>0</v>
      </c>
      <c r="BN120" s="225">
        <f t="shared" si="61"/>
        <v>0</v>
      </c>
      <c r="BO120" s="225">
        <f t="shared" si="40"/>
        <v>0</v>
      </c>
      <c r="BP120" s="225"/>
      <c r="BQ120" s="225"/>
      <c r="BR120" s="225"/>
      <c r="BS120" s="225"/>
      <c r="BT120" s="225"/>
      <c r="BU120" s="225"/>
      <c r="BV120" s="225"/>
      <c r="BW120" s="225"/>
      <c r="BY120" s="176"/>
      <c r="BZ120" s="176"/>
      <c r="CA120" s="176"/>
      <c r="CB120" s="176"/>
      <c r="CC120" s="176"/>
      <c r="CD120" s="176"/>
      <c r="CE120" s="176"/>
      <c r="CF120" s="176"/>
      <c r="CH120" s="248"/>
      <c r="CI120" s="248"/>
      <c r="CJ120" s="248"/>
      <c r="CK120" s="248"/>
      <c r="CL120" s="248"/>
      <c r="CM120" s="248"/>
      <c r="CN120" s="248"/>
      <c r="CO120" s="248"/>
      <c r="CQ120" s="248"/>
      <c r="CR120" s="248"/>
      <c r="CS120" s="248"/>
      <c r="CT120" s="248"/>
      <c r="CU120" s="248"/>
      <c r="CV120" s="248"/>
      <c r="CW120" s="248"/>
      <c r="CX120" s="248"/>
      <c r="CY120" s="248"/>
      <c r="DA120" s="248"/>
      <c r="DB120" s="248"/>
      <c r="DC120" s="248"/>
      <c r="DD120" s="248"/>
      <c r="DE120" s="248"/>
      <c r="DF120" s="248"/>
      <c r="DG120" s="248"/>
      <c r="DH120" s="248"/>
      <c r="DJ120" s="179" t="e">
        <f>#REF!+((SUMIFS($F120:$AM120,$F$3:$AM$3,$DJ$7)*80%))+SUMIFS(#REF!,#REF!,$DJ$7)</f>
        <v>#REF!</v>
      </c>
      <c r="DK120" s="179">
        <f t="shared" si="63"/>
        <v>0</v>
      </c>
      <c r="DL120" s="173" t="e">
        <f t="shared" si="62"/>
        <v>#REF!</v>
      </c>
    </row>
    <row r="121" spans="1:116">
      <c r="A121" s="168">
        <v>2073</v>
      </c>
      <c r="B121" s="2">
        <v>138889</v>
      </c>
      <c r="C121" s="2" t="s">
        <v>323</v>
      </c>
      <c r="D121" s="30"/>
      <c r="E121" s="226"/>
      <c r="F121" s="176">
        <v>0</v>
      </c>
      <c r="G121" s="176">
        <v>0</v>
      </c>
      <c r="H121" s="176">
        <v>70636.800000000003</v>
      </c>
      <c r="I121" s="176">
        <v>5265</v>
      </c>
      <c r="J121" s="176">
        <v>894.94736842105272</v>
      </c>
      <c r="K121" s="176">
        <v>0</v>
      </c>
      <c r="L121" s="30">
        <f t="shared" si="42"/>
        <v>76796.747368421056</v>
      </c>
      <c r="M121" s="176">
        <f t="shared" si="43"/>
        <v>61437.397894736845</v>
      </c>
      <c r="N121" s="226"/>
      <c r="O121" s="176">
        <v>0</v>
      </c>
      <c r="P121" s="176">
        <v>0</v>
      </c>
      <c r="Q121" s="176">
        <v>41940.6</v>
      </c>
      <c r="R121" s="176">
        <v>3315</v>
      </c>
      <c r="S121" s="176">
        <v>1267.8421052631579</v>
      </c>
      <c r="T121" s="176">
        <v>0</v>
      </c>
      <c r="U121" s="176">
        <f t="shared" si="44"/>
        <v>46523.442105263159</v>
      </c>
      <c r="V121" s="176">
        <f t="shared" si="45"/>
        <v>37218.753684210526</v>
      </c>
      <c r="W121" s="226"/>
      <c r="X121" s="247"/>
      <c r="Y121" s="176">
        <v>0</v>
      </c>
      <c r="Z121" s="176">
        <v>49224.126315789472</v>
      </c>
      <c r="AA121" s="176">
        <v>3524.2105263157891</v>
      </c>
      <c r="AB121" s="176">
        <v>1000.0221606648199</v>
      </c>
      <c r="AC121" s="176">
        <v>0</v>
      </c>
      <c r="AD121" s="176">
        <f t="shared" si="46"/>
        <v>53748.359002770077</v>
      </c>
      <c r="AE121" s="247">
        <f t="shared" si="47"/>
        <v>42998.687202216068</v>
      </c>
      <c r="AF121" s="226"/>
      <c r="AG121" s="247">
        <v>4393.3500000000004</v>
      </c>
      <c r="AH121" s="247">
        <v>2314.65</v>
      </c>
      <c r="AI121" s="247">
        <v>3059.8105263157895</v>
      </c>
      <c r="AJ121" s="226"/>
      <c r="AK121" s="247">
        <f t="shared" si="48"/>
        <v>3514.6800000000003</v>
      </c>
      <c r="AL121" s="247">
        <f t="shared" si="49"/>
        <v>1851.7200000000003</v>
      </c>
      <c r="AM121" s="247">
        <f t="shared" si="50"/>
        <v>2447.8484210526317</v>
      </c>
      <c r="AN121" s="225"/>
      <c r="AO121" s="225">
        <v>0</v>
      </c>
      <c r="AP121" s="225">
        <v>0</v>
      </c>
      <c r="AQ121" s="225">
        <v>65118.3</v>
      </c>
      <c r="AR121" s="225">
        <v>4875</v>
      </c>
      <c r="AS121" s="225">
        <v>1789.8947368421054</v>
      </c>
      <c r="AT121" s="225">
        <v>0</v>
      </c>
      <c r="AU121" s="225">
        <v>3849.2999999999997</v>
      </c>
      <c r="AV121" s="225">
        <f t="shared" si="51"/>
        <v>75632.494736842113</v>
      </c>
      <c r="AX121" s="225">
        <f t="shared" si="52"/>
        <v>0</v>
      </c>
      <c r="AY121" s="225">
        <f t="shared" si="53"/>
        <v>0</v>
      </c>
      <c r="AZ121" s="225">
        <f t="shared" si="54"/>
        <v>-5518.5</v>
      </c>
      <c r="BA121" s="225">
        <f t="shared" si="55"/>
        <v>-390</v>
      </c>
      <c r="BB121" s="225">
        <f t="shared" si="56"/>
        <v>894.94736842105272</v>
      </c>
      <c r="BC121" s="225">
        <f t="shared" si="57"/>
        <v>0</v>
      </c>
      <c r="BD121" s="225">
        <f t="shared" si="58"/>
        <v>-544.05000000000064</v>
      </c>
      <c r="BE121" s="225">
        <f t="shared" si="59"/>
        <v>-5557.6026315789477</v>
      </c>
      <c r="BF121" s="225">
        <f t="shared" si="60"/>
        <v>0</v>
      </c>
      <c r="BG121" s="225">
        <f t="shared" si="33"/>
        <v>0</v>
      </c>
      <c r="BH121" s="225">
        <f t="shared" si="34"/>
        <v>0</v>
      </c>
      <c r="BI121" s="225">
        <f t="shared" si="35"/>
        <v>8608.86</v>
      </c>
      <c r="BJ121" s="225">
        <f t="shared" si="36"/>
        <v>663</v>
      </c>
      <c r="BK121" s="225">
        <f t="shared" si="37"/>
        <v>1073.9368421052632</v>
      </c>
      <c r="BL121" s="225">
        <f t="shared" si="38"/>
        <v>0</v>
      </c>
      <c r="BM121" s="225">
        <f t="shared" si="39"/>
        <v>334.61999999999944</v>
      </c>
      <c r="BN121" s="225">
        <f t="shared" si="61"/>
        <v>10680.416842105264</v>
      </c>
      <c r="BO121" s="225">
        <f t="shared" si="40"/>
        <v>0</v>
      </c>
      <c r="BP121" s="225"/>
      <c r="BQ121" s="225"/>
      <c r="BR121" s="225"/>
      <c r="BS121" s="225"/>
      <c r="BT121" s="225"/>
      <c r="BU121" s="225"/>
      <c r="BV121" s="225"/>
      <c r="BW121" s="225"/>
      <c r="BY121" s="176"/>
      <c r="BZ121" s="176"/>
      <c r="CA121" s="176"/>
      <c r="CB121" s="176"/>
      <c r="CC121" s="176"/>
      <c r="CD121" s="176"/>
      <c r="CE121" s="176"/>
      <c r="CF121" s="176"/>
      <c r="CH121" s="248"/>
      <c r="CI121" s="248"/>
      <c r="CJ121" s="248"/>
      <c r="CK121" s="248"/>
      <c r="CL121" s="248"/>
      <c r="CM121" s="248"/>
      <c r="CN121" s="248"/>
      <c r="CO121" s="248"/>
      <c r="CQ121" s="248"/>
      <c r="CR121" s="248"/>
      <c r="CS121" s="248"/>
      <c r="CT121" s="248"/>
      <c r="CU121" s="248"/>
      <c r="CV121" s="248"/>
      <c r="CW121" s="248"/>
      <c r="CX121" s="248"/>
      <c r="CY121" s="248"/>
      <c r="DA121" s="248"/>
      <c r="DB121" s="248"/>
      <c r="DC121" s="248"/>
      <c r="DD121" s="248"/>
      <c r="DE121" s="248"/>
      <c r="DF121" s="248"/>
      <c r="DG121" s="248"/>
      <c r="DH121" s="248"/>
      <c r="DJ121" s="179" t="e">
        <f>#REF!+((SUMIFS($F121:$AM121,$F$3:$AM$3,$DJ$7)*80%))+SUMIFS(#REF!,#REF!,$DJ$7)</f>
        <v>#REF!</v>
      </c>
      <c r="DK121" s="179">
        <f t="shared" si="63"/>
        <v>0</v>
      </c>
      <c r="DL121" s="173" t="e">
        <f t="shared" si="62"/>
        <v>#REF!</v>
      </c>
    </row>
    <row r="122" spans="1:116">
      <c r="A122" s="168">
        <v>2119</v>
      </c>
      <c r="B122" s="2">
        <v>150181</v>
      </c>
      <c r="C122" s="2" t="s">
        <v>324</v>
      </c>
      <c r="D122" s="30"/>
      <c r="E122" s="226"/>
      <c r="F122" s="176">
        <v>0</v>
      </c>
      <c r="G122" s="176">
        <v>0</v>
      </c>
      <c r="H122" s="176">
        <v>28696.2</v>
      </c>
      <c r="I122" s="176">
        <v>2535</v>
      </c>
      <c r="J122" s="176">
        <v>0</v>
      </c>
      <c r="K122" s="176">
        <v>0</v>
      </c>
      <c r="L122" s="30">
        <f t="shared" si="42"/>
        <v>31231.200000000001</v>
      </c>
      <c r="M122" s="176">
        <f t="shared" si="43"/>
        <v>24984.960000000003</v>
      </c>
      <c r="N122" s="226"/>
      <c r="O122" s="176">
        <v>0</v>
      </c>
      <c r="P122" s="176">
        <v>0</v>
      </c>
      <c r="Q122" s="176">
        <v>23177.7</v>
      </c>
      <c r="R122" s="176">
        <v>1755</v>
      </c>
      <c r="S122" s="176">
        <v>0</v>
      </c>
      <c r="T122" s="176">
        <v>0</v>
      </c>
      <c r="U122" s="176">
        <f t="shared" si="44"/>
        <v>24932.7</v>
      </c>
      <c r="V122" s="176">
        <f t="shared" si="45"/>
        <v>19946.160000000003</v>
      </c>
      <c r="W122" s="226"/>
      <c r="X122" s="247"/>
      <c r="Y122" s="176">
        <v>0</v>
      </c>
      <c r="Z122" s="176">
        <v>23486.021052631582</v>
      </c>
      <c r="AA122" s="176">
        <v>1932.6315789473683</v>
      </c>
      <c r="AB122" s="176">
        <v>0</v>
      </c>
      <c r="AC122" s="176">
        <v>0</v>
      </c>
      <c r="AD122" s="176">
        <f t="shared" si="46"/>
        <v>25418.652631578952</v>
      </c>
      <c r="AE122" s="247">
        <f t="shared" si="47"/>
        <v>20334.922105263162</v>
      </c>
      <c r="AF122" s="226"/>
      <c r="AG122" s="247">
        <v>481.65</v>
      </c>
      <c r="AH122" s="247">
        <v>372.45</v>
      </c>
      <c r="AI122" s="247">
        <v>389.36842105263156</v>
      </c>
      <c r="AJ122" s="226"/>
      <c r="AK122" s="247">
        <f t="shared" si="48"/>
        <v>385.32</v>
      </c>
      <c r="AL122" s="247">
        <f t="shared" si="49"/>
        <v>297.95999999999998</v>
      </c>
      <c r="AM122" s="247">
        <f t="shared" si="50"/>
        <v>311.49473684210528</v>
      </c>
      <c r="AN122" s="225"/>
      <c r="AO122" s="225">
        <v>0</v>
      </c>
      <c r="AP122" s="225">
        <v>0</v>
      </c>
      <c r="AQ122" s="225">
        <v>23177.7</v>
      </c>
      <c r="AR122" s="225">
        <v>2340</v>
      </c>
      <c r="AS122" s="225">
        <v>0</v>
      </c>
      <c r="AT122" s="225">
        <v>0</v>
      </c>
      <c r="AU122" s="225">
        <v>475.79999999999995</v>
      </c>
      <c r="AV122" s="225">
        <f t="shared" si="51"/>
        <v>25993.5</v>
      </c>
      <c r="AX122" s="225">
        <f t="shared" si="52"/>
        <v>0</v>
      </c>
      <c r="AY122" s="225">
        <f t="shared" si="53"/>
        <v>0</v>
      </c>
      <c r="AZ122" s="225">
        <f t="shared" si="54"/>
        <v>-5518.5</v>
      </c>
      <c r="BA122" s="225">
        <f t="shared" si="55"/>
        <v>-195</v>
      </c>
      <c r="BB122" s="225">
        <f t="shared" si="56"/>
        <v>0</v>
      </c>
      <c r="BC122" s="225">
        <f t="shared" si="57"/>
        <v>0</v>
      </c>
      <c r="BD122" s="225">
        <f t="shared" si="58"/>
        <v>-5.8500000000000227</v>
      </c>
      <c r="BE122" s="225">
        <f t="shared" si="59"/>
        <v>-5719.35</v>
      </c>
      <c r="BF122" s="225">
        <f t="shared" si="60"/>
        <v>0</v>
      </c>
      <c r="BG122" s="225">
        <f t="shared" si="33"/>
        <v>0</v>
      </c>
      <c r="BH122" s="225">
        <f t="shared" si="34"/>
        <v>0</v>
      </c>
      <c r="BI122" s="225">
        <f t="shared" si="35"/>
        <v>220.73999999999796</v>
      </c>
      <c r="BJ122" s="225">
        <f t="shared" si="36"/>
        <v>312</v>
      </c>
      <c r="BK122" s="225">
        <f t="shared" si="37"/>
        <v>0</v>
      </c>
      <c r="BL122" s="225">
        <f t="shared" si="38"/>
        <v>0</v>
      </c>
      <c r="BM122" s="225">
        <f t="shared" si="39"/>
        <v>90.479999999999961</v>
      </c>
      <c r="BN122" s="225">
        <f t="shared" si="61"/>
        <v>623.21999999999798</v>
      </c>
      <c r="BO122" s="225">
        <f t="shared" si="40"/>
        <v>0</v>
      </c>
      <c r="BP122" s="225"/>
      <c r="BQ122" s="225"/>
      <c r="BR122" s="225"/>
      <c r="BS122" s="225"/>
      <c r="BT122" s="225"/>
      <c r="BU122" s="225"/>
      <c r="BV122" s="225"/>
      <c r="BW122" s="225"/>
      <c r="BY122" s="176"/>
      <c r="BZ122" s="176"/>
      <c r="CA122" s="176"/>
      <c r="CB122" s="176"/>
      <c r="CC122" s="176"/>
      <c r="CD122" s="176"/>
      <c r="CE122" s="176"/>
      <c r="CF122" s="176"/>
      <c r="CH122" s="248"/>
      <c r="CI122" s="248"/>
      <c r="CJ122" s="248"/>
      <c r="CK122" s="248"/>
      <c r="CL122" s="248"/>
      <c r="CM122" s="248"/>
      <c r="CN122" s="248"/>
      <c r="CO122" s="248"/>
      <c r="CQ122" s="248"/>
      <c r="CR122" s="248"/>
      <c r="CS122" s="248"/>
      <c r="CT122" s="248"/>
      <c r="CU122" s="248"/>
      <c r="CV122" s="248"/>
      <c r="CW122" s="248"/>
      <c r="CX122" s="248"/>
      <c r="CY122" s="248"/>
      <c r="DA122" s="248"/>
      <c r="DB122" s="248"/>
      <c r="DC122" s="248"/>
      <c r="DD122" s="248"/>
      <c r="DE122" s="248"/>
      <c r="DF122" s="248"/>
      <c r="DG122" s="248"/>
      <c r="DH122" s="248"/>
      <c r="DJ122" s="179" t="e">
        <f>#REF!+((SUMIFS($F122:$AM122,$F$3:$AM$3,$DJ$7)*80%))+SUMIFS(#REF!,#REF!,$DJ$7)</f>
        <v>#REF!</v>
      </c>
      <c r="DK122" s="179">
        <f t="shared" si="63"/>
        <v>0</v>
      </c>
      <c r="DL122" s="173" t="e">
        <f t="shared" si="62"/>
        <v>#REF!</v>
      </c>
    </row>
    <row r="123" spans="1:116">
      <c r="A123" s="168">
        <v>2096</v>
      </c>
      <c r="B123" s="2">
        <v>139003</v>
      </c>
      <c r="C123" s="2" t="s">
        <v>325</v>
      </c>
      <c r="D123" s="30"/>
      <c r="E123" s="226"/>
      <c r="F123" s="176">
        <v>0</v>
      </c>
      <c r="G123" s="176">
        <v>0</v>
      </c>
      <c r="H123" s="176">
        <v>28696.2</v>
      </c>
      <c r="I123" s="176">
        <v>1560</v>
      </c>
      <c r="J123" s="176">
        <v>0</v>
      </c>
      <c r="K123" s="176">
        <v>0</v>
      </c>
      <c r="L123" s="30">
        <f t="shared" si="42"/>
        <v>30256.2</v>
      </c>
      <c r="M123" s="176">
        <f t="shared" si="43"/>
        <v>24204.960000000003</v>
      </c>
      <c r="N123" s="226"/>
      <c r="O123" s="176">
        <v>0</v>
      </c>
      <c r="P123" s="176">
        <v>0</v>
      </c>
      <c r="Q123" s="176">
        <v>27592.5</v>
      </c>
      <c r="R123" s="176">
        <v>2925</v>
      </c>
      <c r="S123" s="176">
        <v>1118.6842105263158</v>
      </c>
      <c r="T123" s="176">
        <v>0</v>
      </c>
      <c r="U123" s="176">
        <f t="shared" si="44"/>
        <v>31636.184210526317</v>
      </c>
      <c r="V123" s="176">
        <f t="shared" si="45"/>
        <v>25308.947368421053</v>
      </c>
      <c r="W123" s="226"/>
      <c r="X123" s="247"/>
      <c r="Y123" s="176">
        <v>0</v>
      </c>
      <c r="Z123" s="176">
        <v>24451.200000000001</v>
      </c>
      <c r="AA123" s="176">
        <v>1705.2631578947369</v>
      </c>
      <c r="AB123" s="176">
        <v>478.27146814404432</v>
      </c>
      <c r="AC123" s="176">
        <v>0</v>
      </c>
      <c r="AD123" s="176">
        <f t="shared" si="46"/>
        <v>26634.734626038782</v>
      </c>
      <c r="AE123" s="247">
        <f t="shared" si="47"/>
        <v>21307.787700831028</v>
      </c>
      <c r="AF123" s="226"/>
      <c r="AG123" s="247">
        <v>1827.1499999999999</v>
      </c>
      <c r="AH123" s="247">
        <v>1992.8999999999999</v>
      </c>
      <c r="AI123" s="247">
        <v>1629.6631578947367</v>
      </c>
      <c r="AJ123" s="226"/>
      <c r="AK123" s="247">
        <f t="shared" si="48"/>
        <v>1461.72</v>
      </c>
      <c r="AL123" s="247">
        <f t="shared" si="49"/>
        <v>1594.32</v>
      </c>
      <c r="AM123" s="247">
        <f t="shared" si="50"/>
        <v>1303.7305263157896</v>
      </c>
      <c r="AN123" s="225"/>
      <c r="AO123" s="225">
        <v>0</v>
      </c>
      <c r="AP123" s="225">
        <v>0</v>
      </c>
      <c r="AQ123" s="225">
        <v>28696.2</v>
      </c>
      <c r="AR123" s="225">
        <v>2925</v>
      </c>
      <c r="AS123" s="225">
        <v>1118.6842105263158</v>
      </c>
      <c r="AT123" s="225">
        <v>0</v>
      </c>
      <c r="AU123" s="225">
        <v>2174.25</v>
      </c>
      <c r="AV123" s="225">
        <f t="shared" si="51"/>
        <v>34914.134210526317</v>
      </c>
      <c r="AX123" s="225">
        <f t="shared" si="52"/>
        <v>0</v>
      </c>
      <c r="AY123" s="225">
        <f t="shared" si="53"/>
        <v>0</v>
      </c>
      <c r="AZ123" s="225">
        <f t="shared" si="54"/>
        <v>0</v>
      </c>
      <c r="BA123" s="225">
        <f t="shared" si="55"/>
        <v>1365</v>
      </c>
      <c r="BB123" s="225">
        <f t="shared" si="56"/>
        <v>1118.6842105263158</v>
      </c>
      <c r="BC123" s="225">
        <f t="shared" si="57"/>
        <v>0</v>
      </c>
      <c r="BD123" s="225">
        <f t="shared" si="58"/>
        <v>347.10000000000014</v>
      </c>
      <c r="BE123" s="225">
        <f t="shared" si="59"/>
        <v>2830.7842105263162</v>
      </c>
      <c r="BF123" s="225">
        <f t="shared" si="60"/>
        <v>0</v>
      </c>
      <c r="BG123" s="225">
        <f t="shared" si="33"/>
        <v>0</v>
      </c>
      <c r="BH123" s="225">
        <f t="shared" si="34"/>
        <v>0</v>
      </c>
      <c r="BI123" s="225">
        <f t="shared" si="35"/>
        <v>5739.239999999998</v>
      </c>
      <c r="BJ123" s="225">
        <f t="shared" si="36"/>
        <v>1677</v>
      </c>
      <c r="BK123" s="225">
        <f t="shared" si="37"/>
        <v>1118.6842105263158</v>
      </c>
      <c r="BL123" s="225">
        <f t="shared" si="38"/>
        <v>0</v>
      </c>
      <c r="BM123" s="225">
        <f t="shared" si="39"/>
        <v>712.53</v>
      </c>
      <c r="BN123" s="225">
        <f t="shared" si="61"/>
        <v>9247.4542105263154</v>
      </c>
      <c r="BO123" s="225">
        <f t="shared" si="40"/>
        <v>0</v>
      </c>
      <c r="BP123" s="225"/>
      <c r="BQ123" s="225"/>
      <c r="BR123" s="225"/>
      <c r="BS123" s="225"/>
      <c r="BT123" s="225"/>
      <c r="BU123" s="225"/>
      <c r="BV123" s="225"/>
      <c r="BW123" s="225"/>
      <c r="BY123" s="176"/>
      <c r="BZ123" s="176"/>
      <c r="CA123" s="176"/>
      <c r="CB123" s="176"/>
      <c r="CC123" s="176"/>
      <c r="CD123" s="176"/>
      <c r="CE123" s="176"/>
      <c r="CF123" s="176"/>
      <c r="CH123" s="248"/>
      <c r="CI123" s="248"/>
      <c r="CJ123" s="248"/>
      <c r="CK123" s="248"/>
      <c r="CL123" s="248"/>
      <c r="CM123" s="248"/>
      <c r="CN123" s="248"/>
      <c r="CO123" s="248"/>
      <c r="CQ123" s="248"/>
      <c r="CR123" s="248"/>
      <c r="CS123" s="248"/>
      <c r="CT123" s="248"/>
      <c r="CU123" s="248"/>
      <c r="CV123" s="248"/>
      <c r="CW123" s="248"/>
      <c r="CX123" s="248"/>
      <c r="CY123" s="248"/>
      <c r="DA123" s="248"/>
      <c r="DB123" s="248"/>
      <c r="DC123" s="248"/>
      <c r="DD123" s="248"/>
      <c r="DE123" s="248"/>
      <c r="DF123" s="248"/>
      <c r="DG123" s="248"/>
      <c r="DH123" s="248"/>
      <c r="DJ123" s="179" t="e">
        <f>#REF!+((SUMIFS($F123:$AM123,$F$3:$AM$3,$DJ$7)*80%))+SUMIFS(#REF!,#REF!,$DJ$7)</f>
        <v>#REF!</v>
      </c>
      <c r="DK123" s="179">
        <f t="shared" si="63"/>
        <v>0</v>
      </c>
      <c r="DL123" s="173" t="e">
        <f t="shared" si="62"/>
        <v>#REF!</v>
      </c>
    </row>
    <row r="124" spans="1:116">
      <c r="A124" s="168">
        <v>7005</v>
      </c>
      <c r="B124" s="2">
        <v>148722</v>
      </c>
      <c r="C124" s="2" t="s">
        <v>326</v>
      </c>
      <c r="D124" s="30"/>
      <c r="E124" s="226"/>
      <c r="F124" s="176">
        <v>0</v>
      </c>
      <c r="G124" s="176">
        <v>0</v>
      </c>
      <c r="H124" s="176">
        <v>0</v>
      </c>
      <c r="I124" s="176">
        <v>0</v>
      </c>
      <c r="J124" s="176">
        <v>0</v>
      </c>
      <c r="K124" s="176">
        <v>0</v>
      </c>
      <c r="L124" s="30">
        <f t="shared" si="42"/>
        <v>0</v>
      </c>
      <c r="M124" s="176">
        <f t="shared" si="43"/>
        <v>0</v>
      </c>
      <c r="N124" s="226"/>
      <c r="O124" s="176">
        <v>0</v>
      </c>
      <c r="P124" s="176">
        <v>0</v>
      </c>
      <c r="Q124" s="176">
        <v>0</v>
      </c>
      <c r="R124" s="176">
        <v>0</v>
      </c>
      <c r="S124" s="176">
        <v>0</v>
      </c>
      <c r="T124" s="176">
        <v>0</v>
      </c>
      <c r="U124" s="176">
        <f t="shared" si="44"/>
        <v>0</v>
      </c>
      <c r="V124" s="176">
        <f t="shared" si="45"/>
        <v>0</v>
      </c>
      <c r="W124" s="226"/>
      <c r="X124" s="247"/>
      <c r="Y124" s="176">
        <v>0</v>
      </c>
      <c r="Z124" s="176">
        <v>0</v>
      </c>
      <c r="AA124" s="176">
        <v>0</v>
      </c>
      <c r="AB124" s="176">
        <v>0</v>
      </c>
      <c r="AC124" s="176">
        <v>0</v>
      </c>
      <c r="AD124" s="176">
        <f t="shared" si="46"/>
        <v>0</v>
      </c>
      <c r="AE124" s="247">
        <f t="shared" si="47"/>
        <v>0</v>
      </c>
      <c r="AF124" s="226"/>
      <c r="AG124" s="247">
        <v>0</v>
      </c>
      <c r="AH124" s="247">
        <v>0</v>
      </c>
      <c r="AI124" s="247">
        <v>0</v>
      </c>
      <c r="AJ124" s="226"/>
      <c r="AK124" s="247">
        <f t="shared" si="48"/>
        <v>0</v>
      </c>
      <c r="AL124" s="247">
        <f t="shared" si="49"/>
        <v>0</v>
      </c>
      <c r="AM124" s="247">
        <f t="shared" si="50"/>
        <v>0</v>
      </c>
      <c r="AN124" s="225"/>
      <c r="AO124" s="225">
        <v>0</v>
      </c>
      <c r="AP124" s="225">
        <v>0</v>
      </c>
      <c r="AQ124" s="225">
        <v>0</v>
      </c>
      <c r="AR124" s="225">
        <v>0</v>
      </c>
      <c r="AS124" s="225">
        <v>0</v>
      </c>
      <c r="AT124" s="225">
        <v>0</v>
      </c>
      <c r="AU124" s="225">
        <v>0</v>
      </c>
      <c r="AV124" s="225">
        <f t="shared" si="51"/>
        <v>0</v>
      </c>
      <c r="AX124" s="225">
        <f t="shared" si="52"/>
        <v>0</v>
      </c>
      <c r="AY124" s="225">
        <f t="shared" si="53"/>
        <v>0</v>
      </c>
      <c r="AZ124" s="225">
        <f t="shared" si="54"/>
        <v>0</v>
      </c>
      <c r="BA124" s="225">
        <f t="shared" si="55"/>
        <v>0</v>
      </c>
      <c r="BB124" s="225">
        <f t="shared" si="56"/>
        <v>0</v>
      </c>
      <c r="BC124" s="225">
        <f t="shared" si="57"/>
        <v>0</v>
      </c>
      <c r="BD124" s="225">
        <f t="shared" si="58"/>
        <v>0</v>
      </c>
      <c r="BE124" s="225">
        <f t="shared" si="59"/>
        <v>0</v>
      </c>
      <c r="BF124" s="225">
        <f t="shared" si="60"/>
        <v>0</v>
      </c>
      <c r="BG124" s="225">
        <f t="shared" si="33"/>
        <v>0</v>
      </c>
      <c r="BH124" s="225">
        <f t="shared" si="34"/>
        <v>0</v>
      </c>
      <c r="BI124" s="225">
        <f t="shared" si="35"/>
        <v>0</v>
      </c>
      <c r="BJ124" s="225">
        <f t="shared" si="36"/>
        <v>0</v>
      </c>
      <c r="BK124" s="225">
        <f t="shared" si="37"/>
        <v>0</v>
      </c>
      <c r="BL124" s="225">
        <f t="shared" si="38"/>
        <v>0</v>
      </c>
      <c r="BM124" s="225">
        <f t="shared" si="39"/>
        <v>0</v>
      </c>
      <c r="BN124" s="225">
        <f t="shared" si="61"/>
        <v>0</v>
      </c>
      <c r="BO124" s="225">
        <f t="shared" si="40"/>
        <v>0</v>
      </c>
      <c r="BP124" s="225"/>
      <c r="BQ124" s="225"/>
      <c r="BR124" s="225"/>
      <c r="BS124" s="225"/>
      <c r="BT124" s="225"/>
      <c r="BU124" s="225"/>
      <c r="BV124" s="225"/>
      <c r="BW124" s="225"/>
      <c r="BY124" s="176"/>
      <c r="BZ124" s="176"/>
      <c r="CA124" s="176"/>
      <c r="CB124" s="176"/>
      <c r="CC124" s="176"/>
      <c r="CD124" s="176"/>
      <c r="CE124" s="176"/>
      <c r="CF124" s="176"/>
      <c r="CH124" s="248"/>
      <c r="CI124" s="248"/>
      <c r="CJ124" s="248"/>
      <c r="CK124" s="248"/>
      <c r="CL124" s="248"/>
      <c r="CM124" s="248"/>
      <c r="CN124" s="248"/>
      <c r="CO124" s="248"/>
      <c r="CQ124" s="248"/>
      <c r="CR124" s="248"/>
      <c r="CS124" s="248"/>
      <c r="CT124" s="248"/>
      <c r="CU124" s="248"/>
      <c r="CV124" s="248"/>
      <c r="CW124" s="248"/>
      <c r="CX124" s="248"/>
      <c r="CY124" s="248"/>
      <c r="DA124" s="248"/>
      <c r="DB124" s="248"/>
      <c r="DC124" s="248"/>
      <c r="DD124" s="248"/>
      <c r="DE124" s="248"/>
      <c r="DF124" s="248"/>
      <c r="DG124" s="248"/>
      <c r="DH124" s="248"/>
      <c r="DJ124" s="179" t="e">
        <f>#REF!+((SUMIFS($F124:$AM124,$F$3:$AM$3,$DJ$7)*80%))+SUMIFS(#REF!,#REF!,$DJ$7)</f>
        <v>#REF!</v>
      </c>
      <c r="DK124" s="179">
        <f t="shared" si="63"/>
        <v>0</v>
      </c>
      <c r="DL124" s="173" t="e">
        <f t="shared" si="62"/>
        <v>#REF!</v>
      </c>
    </row>
    <row r="125" spans="1:116">
      <c r="A125" s="168">
        <v>2453</v>
      </c>
      <c r="B125" s="2">
        <v>140502</v>
      </c>
      <c r="C125" s="2" t="s">
        <v>327</v>
      </c>
      <c r="D125" s="30"/>
      <c r="E125" s="226"/>
      <c r="F125" s="176">
        <v>0</v>
      </c>
      <c r="G125" s="176">
        <v>0</v>
      </c>
      <c r="H125" s="176">
        <v>33111</v>
      </c>
      <c r="I125" s="176">
        <v>0</v>
      </c>
      <c r="J125" s="176">
        <v>0</v>
      </c>
      <c r="K125" s="176">
        <v>0</v>
      </c>
      <c r="L125" s="30">
        <f t="shared" si="42"/>
        <v>33111</v>
      </c>
      <c r="M125" s="176">
        <f t="shared" si="43"/>
        <v>26488.800000000003</v>
      </c>
      <c r="N125" s="226"/>
      <c r="O125" s="176">
        <v>0</v>
      </c>
      <c r="P125" s="176">
        <v>0</v>
      </c>
      <c r="Q125" s="176">
        <v>17659.2</v>
      </c>
      <c r="R125" s="176">
        <v>195</v>
      </c>
      <c r="S125" s="176">
        <v>74.578947368421055</v>
      </c>
      <c r="T125" s="176">
        <v>0</v>
      </c>
      <c r="U125" s="176">
        <f t="shared" si="44"/>
        <v>17928.778947368421</v>
      </c>
      <c r="V125" s="176">
        <f t="shared" si="45"/>
        <v>14343.023157894737</v>
      </c>
      <c r="W125" s="226"/>
      <c r="X125" s="247"/>
      <c r="Y125" s="176">
        <v>0</v>
      </c>
      <c r="Z125" s="176">
        <v>24129.473684210523</v>
      </c>
      <c r="AA125" s="176">
        <v>56.84210526315789</v>
      </c>
      <c r="AB125" s="176">
        <v>21.739612188365648</v>
      </c>
      <c r="AC125" s="176">
        <v>0</v>
      </c>
      <c r="AD125" s="176">
        <f t="shared" si="46"/>
        <v>24208.055401662044</v>
      </c>
      <c r="AE125" s="247">
        <f t="shared" si="47"/>
        <v>19366.444321329636</v>
      </c>
      <c r="AF125" s="226"/>
      <c r="AG125" s="247">
        <v>739.05</v>
      </c>
      <c r="AH125" s="247">
        <v>444.59999999999997</v>
      </c>
      <c r="AI125" s="247">
        <v>555.9157894736843</v>
      </c>
      <c r="AJ125" s="226"/>
      <c r="AK125" s="247">
        <f t="shared" si="48"/>
        <v>591.24</v>
      </c>
      <c r="AL125" s="247">
        <f t="shared" si="49"/>
        <v>355.68</v>
      </c>
      <c r="AM125" s="247">
        <f t="shared" si="50"/>
        <v>444.73263157894746</v>
      </c>
      <c r="AN125" s="225"/>
      <c r="AO125" s="225">
        <v>0</v>
      </c>
      <c r="AP125" s="225">
        <v>0</v>
      </c>
      <c r="AQ125" s="225">
        <v>28696.2</v>
      </c>
      <c r="AR125" s="225">
        <v>390</v>
      </c>
      <c r="AS125" s="225">
        <v>149.15789473684211</v>
      </c>
      <c r="AT125" s="225">
        <v>0</v>
      </c>
      <c r="AU125" s="225">
        <v>951.6</v>
      </c>
      <c r="AV125" s="225">
        <f t="shared" si="51"/>
        <v>30186.957894736843</v>
      </c>
      <c r="AX125" s="225">
        <f t="shared" si="52"/>
        <v>0</v>
      </c>
      <c r="AY125" s="225">
        <f t="shared" si="53"/>
        <v>0</v>
      </c>
      <c r="AZ125" s="225">
        <f t="shared" si="54"/>
        <v>-4414.7999999999993</v>
      </c>
      <c r="BA125" s="225">
        <f t="shared" si="55"/>
        <v>390</v>
      </c>
      <c r="BB125" s="225">
        <f t="shared" si="56"/>
        <v>149.15789473684211</v>
      </c>
      <c r="BC125" s="225">
        <f t="shared" si="57"/>
        <v>0</v>
      </c>
      <c r="BD125" s="225">
        <f t="shared" si="58"/>
        <v>212.55000000000007</v>
      </c>
      <c r="BE125" s="225">
        <f t="shared" si="59"/>
        <v>-3663.092105263157</v>
      </c>
      <c r="BF125" s="225">
        <f t="shared" si="60"/>
        <v>0</v>
      </c>
      <c r="BG125" s="225">
        <f t="shared" si="33"/>
        <v>0</v>
      </c>
      <c r="BH125" s="225">
        <f t="shared" si="34"/>
        <v>0</v>
      </c>
      <c r="BI125" s="225">
        <f t="shared" si="35"/>
        <v>2207.3999999999978</v>
      </c>
      <c r="BJ125" s="225">
        <f t="shared" si="36"/>
        <v>390</v>
      </c>
      <c r="BK125" s="225">
        <f t="shared" si="37"/>
        <v>149.15789473684211</v>
      </c>
      <c r="BL125" s="225">
        <f t="shared" si="38"/>
        <v>0</v>
      </c>
      <c r="BM125" s="225">
        <f t="shared" si="39"/>
        <v>360.36</v>
      </c>
      <c r="BN125" s="225">
        <f t="shared" si="61"/>
        <v>3106.91789473684</v>
      </c>
      <c r="BO125" s="225">
        <f t="shared" si="40"/>
        <v>0</v>
      </c>
      <c r="BP125" s="225"/>
      <c r="BQ125" s="225"/>
      <c r="BR125" s="225"/>
      <c r="BS125" s="225"/>
      <c r="BT125" s="225"/>
      <c r="BU125" s="225"/>
      <c r="BV125" s="225"/>
      <c r="BW125" s="225"/>
      <c r="BY125" s="176"/>
      <c r="BZ125" s="176"/>
      <c r="CA125" s="176"/>
      <c r="CB125" s="176"/>
      <c r="CC125" s="176"/>
      <c r="CD125" s="176"/>
      <c r="CE125" s="176"/>
      <c r="CF125" s="176"/>
      <c r="CH125" s="248"/>
      <c r="CI125" s="248"/>
      <c r="CJ125" s="248"/>
      <c r="CK125" s="248"/>
      <c r="CL125" s="248"/>
      <c r="CM125" s="248"/>
      <c r="CN125" s="248"/>
      <c r="CO125" s="248"/>
      <c r="CQ125" s="248"/>
      <c r="CR125" s="248"/>
      <c r="CS125" s="248"/>
      <c r="CT125" s="248"/>
      <c r="CU125" s="248"/>
      <c r="CV125" s="248"/>
      <c r="CW125" s="248"/>
      <c r="CX125" s="248"/>
      <c r="CY125" s="248"/>
      <c r="DA125" s="248"/>
      <c r="DB125" s="248"/>
      <c r="DC125" s="248"/>
      <c r="DD125" s="248"/>
      <c r="DE125" s="248"/>
      <c r="DF125" s="248"/>
      <c r="DG125" s="248"/>
      <c r="DH125" s="248"/>
      <c r="DJ125" s="179" t="e">
        <f>#REF!+((SUMIFS($F125:$AM125,$F$3:$AM$3,$DJ$7)*80%))+SUMIFS(#REF!,#REF!,$DJ$7)</f>
        <v>#REF!</v>
      </c>
      <c r="DK125" s="179">
        <f t="shared" si="63"/>
        <v>0</v>
      </c>
      <c r="DL125" s="173" t="e">
        <f t="shared" si="62"/>
        <v>#REF!</v>
      </c>
    </row>
    <row r="126" spans="1:116">
      <c r="A126" s="168">
        <v>2207</v>
      </c>
      <c r="B126" s="2">
        <v>148653</v>
      </c>
      <c r="C126" s="2" t="s">
        <v>328</v>
      </c>
      <c r="D126" s="30"/>
      <c r="E126" s="226"/>
      <c r="F126" s="176">
        <v>0</v>
      </c>
      <c r="G126" s="176">
        <v>0</v>
      </c>
      <c r="H126" s="176">
        <v>0</v>
      </c>
      <c r="I126" s="176">
        <v>0</v>
      </c>
      <c r="J126" s="176">
        <v>0</v>
      </c>
      <c r="K126" s="176">
        <v>0</v>
      </c>
      <c r="L126" s="30">
        <f t="shared" si="42"/>
        <v>0</v>
      </c>
      <c r="M126" s="176">
        <f t="shared" si="43"/>
        <v>0</v>
      </c>
      <c r="N126" s="226"/>
      <c r="O126" s="176">
        <v>0</v>
      </c>
      <c r="P126" s="176">
        <v>0</v>
      </c>
      <c r="Q126" s="176">
        <v>0</v>
      </c>
      <c r="R126" s="176">
        <v>0</v>
      </c>
      <c r="S126" s="176">
        <v>0</v>
      </c>
      <c r="T126" s="176">
        <v>0</v>
      </c>
      <c r="U126" s="176">
        <f t="shared" si="44"/>
        <v>0</v>
      </c>
      <c r="V126" s="176">
        <f t="shared" si="45"/>
        <v>0</v>
      </c>
      <c r="W126" s="226"/>
      <c r="X126" s="247"/>
      <c r="Y126" s="176">
        <v>0</v>
      </c>
      <c r="Z126" s="176">
        <v>0</v>
      </c>
      <c r="AA126" s="176">
        <v>0</v>
      </c>
      <c r="AB126" s="176">
        <v>0</v>
      </c>
      <c r="AC126" s="176">
        <v>0</v>
      </c>
      <c r="AD126" s="176">
        <f t="shared" si="46"/>
        <v>0</v>
      </c>
      <c r="AE126" s="247">
        <f t="shared" si="47"/>
        <v>0</v>
      </c>
      <c r="AF126" s="226"/>
      <c r="AG126" s="247">
        <v>0</v>
      </c>
      <c r="AH126" s="247">
        <v>0</v>
      </c>
      <c r="AI126" s="247">
        <v>0</v>
      </c>
      <c r="AJ126" s="226"/>
      <c r="AK126" s="247">
        <f t="shared" si="48"/>
        <v>0</v>
      </c>
      <c r="AL126" s="247">
        <f t="shared" si="49"/>
        <v>0</v>
      </c>
      <c r="AM126" s="247">
        <f t="shared" si="50"/>
        <v>0</v>
      </c>
      <c r="AN126" s="225"/>
      <c r="AO126" s="225">
        <v>0</v>
      </c>
      <c r="AP126" s="225">
        <v>0</v>
      </c>
      <c r="AQ126" s="225">
        <v>0</v>
      </c>
      <c r="AR126" s="225">
        <v>0</v>
      </c>
      <c r="AS126" s="225">
        <v>0</v>
      </c>
      <c r="AT126" s="225">
        <v>0</v>
      </c>
      <c r="AU126" s="225">
        <v>0</v>
      </c>
      <c r="AV126" s="225">
        <f t="shared" si="51"/>
        <v>0</v>
      </c>
      <c r="AX126" s="225">
        <f t="shared" si="52"/>
        <v>0</v>
      </c>
      <c r="AY126" s="225">
        <f t="shared" si="53"/>
        <v>0</v>
      </c>
      <c r="AZ126" s="225">
        <f t="shared" si="54"/>
        <v>0</v>
      </c>
      <c r="BA126" s="225">
        <f t="shared" si="55"/>
        <v>0</v>
      </c>
      <c r="BB126" s="225">
        <f t="shared" si="56"/>
        <v>0</v>
      </c>
      <c r="BC126" s="225">
        <f t="shared" si="57"/>
        <v>0</v>
      </c>
      <c r="BD126" s="225">
        <f t="shared" si="58"/>
        <v>0</v>
      </c>
      <c r="BE126" s="225">
        <f t="shared" si="59"/>
        <v>0</v>
      </c>
      <c r="BF126" s="225">
        <f t="shared" si="60"/>
        <v>0</v>
      </c>
      <c r="BG126" s="225">
        <f t="shared" si="33"/>
        <v>0</v>
      </c>
      <c r="BH126" s="225">
        <f t="shared" si="34"/>
        <v>0</v>
      </c>
      <c r="BI126" s="225">
        <f t="shared" si="35"/>
        <v>0</v>
      </c>
      <c r="BJ126" s="225">
        <f t="shared" si="36"/>
        <v>0</v>
      </c>
      <c r="BK126" s="225">
        <f t="shared" si="37"/>
        <v>0</v>
      </c>
      <c r="BL126" s="225">
        <f t="shared" si="38"/>
        <v>0</v>
      </c>
      <c r="BM126" s="225">
        <f t="shared" si="39"/>
        <v>0</v>
      </c>
      <c r="BN126" s="225">
        <f t="shared" si="61"/>
        <v>0</v>
      </c>
      <c r="BO126" s="225">
        <f t="shared" si="40"/>
        <v>0</v>
      </c>
      <c r="BP126" s="225"/>
      <c r="BQ126" s="225"/>
      <c r="BR126" s="225"/>
      <c r="BS126" s="225"/>
      <c r="BT126" s="225"/>
      <c r="BU126" s="225"/>
      <c r="BV126" s="225"/>
      <c r="BW126" s="225"/>
      <c r="BY126" s="176"/>
      <c r="BZ126" s="176"/>
      <c r="CA126" s="176"/>
      <c r="CB126" s="176"/>
      <c r="CC126" s="176"/>
      <c r="CD126" s="176"/>
      <c r="CE126" s="176"/>
      <c r="CF126" s="176"/>
      <c r="CH126" s="248"/>
      <c r="CI126" s="248"/>
      <c r="CJ126" s="248"/>
      <c r="CK126" s="248"/>
      <c r="CL126" s="248"/>
      <c r="CM126" s="248"/>
      <c r="CN126" s="248"/>
      <c r="CO126" s="248"/>
      <c r="CQ126" s="248"/>
      <c r="CR126" s="248"/>
      <c r="CS126" s="248"/>
      <c r="CT126" s="248"/>
      <c r="CU126" s="248"/>
      <c r="CV126" s="248"/>
      <c r="CW126" s="248"/>
      <c r="CX126" s="248"/>
      <c r="CY126" s="248"/>
      <c r="DA126" s="248"/>
      <c r="DB126" s="248"/>
      <c r="DC126" s="248"/>
      <c r="DD126" s="248"/>
      <c r="DE126" s="248"/>
      <c r="DF126" s="248"/>
      <c r="DG126" s="248"/>
      <c r="DH126" s="248"/>
      <c r="DJ126" s="179" t="e">
        <f>#REF!+((SUMIFS($F126:$AM126,$F$3:$AM$3,$DJ$7)*80%))+SUMIFS(#REF!,#REF!,$DJ$7)</f>
        <v>#REF!</v>
      </c>
      <c r="DK126" s="179">
        <f t="shared" si="63"/>
        <v>0</v>
      </c>
      <c r="DL126" s="173" t="e">
        <f t="shared" si="62"/>
        <v>#REF!</v>
      </c>
    </row>
    <row r="127" spans="1:116">
      <c r="A127" s="168">
        <v>4029</v>
      </c>
      <c r="B127" s="2">
        <v>145120</v>
      </c>
      <c r="C127" s="2" t="s">
        <v>329</v>
      </c>
      <c r="D127" s="30"/>
      <c r="E127" s="226"/>
      <c r="F127" s="176">
        <v>0</v>
      </c>
      <c r="G127" s="176">
        <v>0</v>
      </c>
      <c r="H127" s="176">
        <v>0</v>
      </c>
      <c r="I127" s="176">
        <v>0</v>
      </c>
      <c r="J127" s="176">
        <v>0</v>
      </c>
      <c r="K127" s="176">
        <v>0</v>
      </c>
      <c r="L127" s="30">
        <f t="shared" si="42"/>
        <v>0</v>
      </c>
      <c r="M127" s="176">
        <f t="shared" si="43"/>
        <v>0</v>
      </c>
      <c r="N127" s="226"/>
      <c r="O127" s="176">
        <v>0</v>
      </c>
      <c r="P127" s="176">
        <v>0</v>
      </c>
      <c r="Q127" s="176">
        <v>0</v>
      </c>
      <c r="R127" s="176">
        <v>0</v>
      </c>
      <c r="S127" s="176">
        <v>0</v>
      </c>
      <c r="T127" s="176">
        <v>0</v>
      </c>
      <c r="U127" s="176">
        <f t="shared" si="44"/>
        <v>0</v>
      </c>
      <c r="V127" s="176">
        <f t="shared" si="45"/>
        <v>0</v>
      </c>
      <c r="W127" s="226"/>
      <c r="X127" s="247"/>
      <c r="Y127" s="176">
        <v>0</v>
      </c>
      <c r="Z127" s="176">
        <v>0</v>
      </c>
      <c r="AA127" s="176">
        <v>0</v>
      </c>
      <c r="AB127" s="176">
        <v>0</v>
      </c>
      <c r="AC127" s="176">
        <v>0</v>
      </c>
      <c r="AD127" s="176">
        <f t="shared" si="46"/>
        <v>0</v>
      </c>
      <c r="AE127" s="247">
        <f t="shared" si="47"/>
        <v>0</v>
      </c>
      <c r="AF127" s="226"/>
      <c r="AG127" s="247">
        <v>0</v>
      </c>
      <c r="AH127" s="247">
        <v>0</v>
      </c>
      <c r="AI127" s="247">
        <v>0</v>
      </c>
      <c r="AJ127" s="226"/>
      <c r="AK127" s="247">
        <f t="shared" si="48"/>
        <v>0</v>
      </c>
      <c r="AL127" s="247">
        <f t="shared" si="49"/>
        <v>0</v>
      </c>
      <c r="AM127" s="247">
        <f t="shared" si="50"/>
        <v>0</v>
      </c>
      <c r="AN127" s="225"/>
      <c r="AO127" s="225">
        <v>0</v>
      </c>
      <c r="AP127" s="225">
        <v>0</v>
      </c>
      <c r="AQ127" s="225">
        <v>0</v>
      </c>
      <c r="AR127" s="225">
        <v>0</v>
      </c>
      <c r="AS127" s="225">
        <v>0</v>
      </c>
      <c r="AT127" s="225">
        <v>0</v>
      </c>
      <c r="AU127" s="225">
        <v>0</v>
      </c>
      <c r="AV127" s="225">
        <f t="shared" si="51"/>
        <v>0</v>
      </c>
      <c r="AX127" s="225">
        <f t="shared" si="52"/>
        <v>0</v>
      </c>
      <c r="AY127" s="225">
        <f t="shared" si="53"/>
        <v>0</v>
      </c>
      <c r="AZ127" s="225">
        <f t="shared" si="54"/>
        <v>0</v>
      </c>
      <c r="BA127" s="225">
        <f t="shared" si="55"/>
        <v>0</v>
      </c>
      <c r="BB127" s="225">
        <f t="shared" si="56"/>
        <v>0</v>
      </c>
      <c r="BC127" s="225">
        <f t="shared" si="57"/>
        <v>0</v>
      </c>
      <c r="BD127" s="225">
        <f t="shared" si="58"/>
        <v>0</v>
      </c>
      <c r="BE127" s="225">
        <f t="shared" si="59"/>
        <v>0</v>
      </c>
      <c r="BF127" s="225">
        <f t="shared" si="60"/>
        <v>0</v>
      </c>
      <c r="BG127" s="225">
        <f t="shared" si="33"/>
        <v>0</v>
      </c>
      <c r="BH127" s="225">
        <f t="shared" si="34"/>
        <v>0</v>
      </c>
      <c r="BI127" s="225">
        <f t="shared" si="35"/>
        <v>0</v>
      </c>
      <c r="BJ127" s="225">
        <f t="shared" si="36"/>
        <v>0</v>
      </c>
      <c r="BK127" s="225">
        <f t="shared" si="37"/>
        <v>0</v>
      </c>
      <c r="BL127" s="225">
        <f t="shared" si="38"/>
        <v>0</v>
      </c>
      <c r="BM127" s="225">
        <f t="shared" si="39"/>
        <v>0</v>
      </c>
      <c r="BN127" s="225">
        <f t="shared" si="61"/>
        <v>0</v>
      </c>
      <c r="BO127" s="225">
        <f t="shared" si="40"/>
        <v>0</v>
      </c>
      <c r="BP127" s="225"/>
      <c r="BQ127" s="225"/>
      <c r="BR127" s="225"/>
      <c r="BS127" s="225"/>
      <c r="BT127" s="225"/>
      <c r="BU127" s="225"/>
      <c r="BV127" s="225"/>
      <c r="BW127" s="225"/>
      <c r="BY127" s="176"/>
      <c r="BZ127" s="176"/>
      <c r="CA127" s="176"/>
      <c r="CB127" s="176"/>
      <c r="CC127" s="176"/>
      <c r="CD127" s="176"/>
      <c r="CE127" s="176"/>
      <c r="CF127" s="176"/>
      <c r="CH127" s="248"/>
      <c r="CI127" s="248"/>
      <c r="CJ127" s="248"/>
      <c r="CK127" s="248"/>
      <c r="CL127" s="248"/>
      <c r="CM127" s="248"/>
      <c r="CN127" s="248"/>
      <c r="CO127" s="248"/>
      <c r="CQ127" s="248"/>
      <c r="CR127" s="248"/>
      <c r="CS127" s="248"/>
      <c r="CT127" s="248"/>
      <c r="CU127" s="248"/>
      <c r="CV127" s="248"/>
      <c r="CW127" s="248"/>
      <c r="CX127" s="248"/>
      <c r="CY127" s="248"/>
      <c r="DA127" s="248"/>
      <c r="DB127" s="248"/>
      <c r="DC127" s="248"/>
      <c r="DD127" s="248"/>
      <c r="DE127" s="248"/>
      <c r="DF127" s="248"/>
      <c r="DG127" s="248"/>
      <c r="DH127" s="248"/>
      <c r="DJ127" s="179" t="e">
        <f>#REF!+((SUMIFS($F127:$AM127,$F$3:$AM$3,$DJ$7)*80%))+SUMIFS(#REF!,#REF!,$DJ$7)</f>
        <v>#REF!</v>
      </c>
      <c r="DK127" s="179">
        <f t="shared" si="63"/>
        <v>0</v>
      </c>
      <c r="DL127" s="173" t="e">
        <f t="shared" si="62"/>
        <v>#REF!</v>
      </c>
    </row>
    <row r="128" spans="1:116">
      <c r="A128" s="168">
        <v>2162</v>
      </c>
      <c r="B128" s="2">
        <v>141977</v>
      </c>
      <c r="C128" s="2" t="s">
        <v>330</v>
      </c>
      <c r="D128" s="30"/>
      <c r="E128" s="226"/>
      <c r="F128" s="176">
        <v>0</v>
      </c>
      <c r="G128" s="176">
        <v>0</v>
      </c>
      <c r="H128" s="176">
        <v>20970.3</v>
      </c>
      <c r="I128" s="176">
        <v>585</v>
      </c>
      <c r="J128" s="176">
        <v>0</v>
      </c>
      <c r="K128" s="176">
        <v>0</v>
      </c>
      <c r="L128" s="30">
        <f t="shared" si="42"/>
        <v>21555.3</v>
      </c>
      <c r="M128" s="176">
        <f t="shared" si="43"/>
        <v>17244.240000000002</v>
      </c>
      <c r="N128" s="226"/>
      <c r="O128" s="176">
        <v>0</v>
      </c>
      <c r="P128" s="176">
        <v>0</v>
      </c>
      <c r="Q128" s="176">
        <v>15451.800000000001</v>
      </c>
      <c r="R128" s="176">
        <v>0</v>
      </c>
      <c r="S128" s="176">
        <v>0</v>
      </c>
      <c r="T128" s="176">
        <v>0</v>
      </c>
      <c r="U128" s="176">
        <f t="shared" si="44"/>
        <v>15451.800000000001</v>
      </c>
      <c r="V128" s="176">
        <f t="shared" si="45"/>
        <v>12361.440000000002</v>
      </c>
      <c r="W128" s="226"/>
      <c r="X128" s="247"/>
      <c r="Y128" s="176">
        <v>0</v>
      </c>
      <c r="Z128" s="176">
        <v>17051.494736842105</v>
      </c>
      <c r="AA128" s="176">
        <v>284.21052631578948</v>
      </c>
      <c r="AB128" s="176">
        <v>21.739612188365648</v>
      </c>
      <c r="AC128" s="176">
        <v>0</v>
      </c>
      <c r="AD128" s="176">
        <f t="shared" si="46"/>
        <v>17357.44487534626</v>
      </c>
      <c r="AE128" s="247">
        <f t="shared" si="47"/>
        <v>13885.955900277009</v>
      </c>
      <c r="AF128" s="226"/>
      <c r="AG128" s="247">
        <v>1019.8499999999999</v>
      </c>
      <c r="AH128" s="247">
        <v>653.25</v>
      </c>
      <c r="AI128" s="247">
        <v>801.47368421052624</v>
      </c>
      <c r="AJ128" s="226"/>
      <c r="AK128" s="247">
        <f t="shared" si="48"/>
        <v>815.88</v>
      </c>
      <c r="AL128" s="247">
        <f t="shared" si="49"/>
        <v>522.6</v>
      </c>
      <c r="AM128" s="247">
        <f t="shared" si="50"/>
        <v>641.17894736842106</v>
      </c>
      <c r="AN128" s="225"/>
      <c r="AO128" s="225">
        <v>0</v>
      </c>
      <c r="AP128" s="225">
        <v>0</v>
      </c>
      <c r="AQ128" s="225">
        <v>23177.7</v>
      </c>
      <c r="AR128" s="225">
        <v>0</v>
      </c>
      <c r="AS128" s="225">
        <v>0</v>
      </c>
      <c r="AT128" s="225">
        <v>0</v>
      </c>
      <c r="AU128" s="225">
        <v>819</v>
      </c>
      <c r="AV128" s="225">
        <f t="shared" si="51"/>
        <v>23996.7</v>
      </c>
      <c r="AX128" s="225">
        <f t="shared" si="52"/>
        <v>0</v>
      </c>
      <c r="AY128" s="225">
        <f t="shared" si="53"/>
        <v>0</v>
      </c>
      <c r="AZ128" s="225">
        <f t="shared" si="54"/>
        <v>2207.4000000000015</v>
      </c>
      <c r="BA128" s="225">
        <f t="shared" si="55"/>
        <v>-585</v>
      </c>
      <c r="BB128" s="225">
        <f t="shared" si="56"/>
        <v>0</v>
      </c>
      <c r="BC128" s="225">
        <f t="shared" si="57"/>
        <v>0</v>
      </c>
      <c r="BD128" s="225">
        <f t="shared" si="58"/>
        <v>-200.84999999999991</v>
      </c>
      <c r="BE128" s="225">
        <f t="shared" si="59"/>
        <v>1421.5500000000015</v>
      </c>
      <c r="BF128" s="225">
        <f t="shared" si="60"/>
        <v>0</v>
      </c>
      <c r="BG128" s="225">
        <f t="shared" si="33"/>
        <v>0</v>
      </c>
      <c r="BH128" s="225">
        <f t="shared" si="34"/>
        <v>0</v>
      </c>
      <c r="BI128" s="225">
        <f t="shared" si="35"/>
        <v>6401.4599999999991</v>
      </c>
      <c r="BJ128" s="225">
        <f t="shared" si="36"/>
        <v>-468</v>
      </c>
      <c r="BK128" s="225">
        <f t="shared" si="37"/>
        <v>0</v>
      </c>
      <c r="BL128" s="225">
        <f t="shared" si="38"/>
        <v>0</v>
      </c>
      <c r="BM128" s="225">
        <f t="shared" si="39"/>
        <v>3.1200000000000045</v>
      </c>
      <c r="BN128" s="225">
        <f t="shared" si="61"/>
        <v>5936.579999999999</v>
      </c>
      <c r="BO128" s="225">
        <f t="shared" si="40"/>
        <v>0</v>
      </c>
      <c r="BP128" s="225"/>
      <c r="BQ128" s="225"/>
      <c r="BR128" s="225"/>
      <c r="BS128" s="225"/>
      <c r="BT128" s="225"/>
      <c r="BU128" s="225"/>
      <c r="BV128" s="225"/>
      <c r="BW128" s="225"/>
      <c r="BY128" s="176"/>
      <c r="BZ128" s="176"/>
      <c r="CA128" s="176"/>
      <c r="CB128" s="176"/>
      <c r="CC128" s="176"/>
      <c r="CD128" s="176"/>
      <c r="CE128" s="176"/>
      <c r="CF128" s="176"/>
      <c r="CH128" s="248"/>
      <c r="CI128" s="248"/>
      <c r="CJ128" s="248"/>
      <c r="CK128" s="248"/>
      <c r="CL128" s="248"/>
      <c r="CM128" s="248"/>
      <c r="CN128" s="248"/>
      <c r="CO128" s="248"/>
      <c r="CQ128" s="248"/>
      <c r="CR128" s="248"/>
      <c r="CS128" s="248"/>
      <c r="CT128" s="248"/>
      <c r="CU128" s="248"/>
      <c r="CV128" s="248"/>
      <c r="CW128" s="248"/>
      <c r="CX128" s="248"/>
      <c r="CY128" s="248"/>
      <c r="DA128" s="248"/>
      <c r="DB128" s="248"/>
      <c r="DC128" s="248"/>
      <c r="DD128" s="248"/>
      <c r="DE128" s="248"/>
      <c r="DF128" s="248"/>
      <c r="DG128" s="248"/>
      <c r="DH128" s="248"/>
      <c r="DJ128" s="179" t="e">
        <f>#REF!+((SUMIFS($F128:$AM128,$F$3:$AM$3,$DJ$7)*80%))+SUMIFS(#REF!,#REF!,$DJ$7)</f>
        <v>#REF!</v>
      </c>
      <c r="DK128" s="179">
        <f t="shared" si="63"/>
        <v>0</v>
      </c>
      <c r="DL128" s="173" t="e">
        <f t="shared" si="62"/>
        <v>#REF!</v>
      </c>
    </row>
    <row r="129" spans="1:116">
      <c r="A129" s="168">
        <v>2075</v>
      </c>
      <c r="B129" s="2">
        <v>138998</v>
      </c>
      <c r="C129" s="2" t="s">
        <v>331</v>
      </c>
      <c r="D129" s="30"/>
      <c r="E129" s="226"/>
      <c r="F129" s="176">
        <v>0</v>
      </c>
      <c r="G129" s="176">
        <v>0</v>
      </c>
      <c r="H129" s="176">
        <v>39733.200000000004</v>
      </c>
      <c r="I129" s="176">
        <v>195</v>
      </c>
      <c r="J129" s="176">
        <v>0</v>
      </c>
      <c r="K129" s="176">
        <v>0</v>
      </c>
      <c r="L129" s="30">
        <f t="shared" si="42"/>
        <v>39928.200000000004</v>
      </c>
      <c r="M129" s="176">
        <f t="shared" si="43"/>
        <v>31942.560000000005</v>
      </c>
      <c r="N129" s="226"/>
      <c r="O129" s="176">
        <v>0</v>
      </c>
      <c r="P129" s="176">
        <v>0</v>
      </c>
      <c r="Q129" s="176">
        <v>15451.800000000001</v>
      </c>
      <c r="R129" s="176">
        <v>780</v>
      </c>
      <c r="S129" s="176">
        <v>0</v>
      </c>
      <c r="T129" s="176">
        <v>0</v>
      </c>
      <c r="U129" s="176">
        <f t="shared" si="44"/>
        <v>16231.800000000001</v>
      </c>
      <c r="V129" s="176">
        <f t="shared" si="45"/>
        <v>12985.440000000002</v>
      </c>
      <c r="W129" s="226"/>
      <c r="X129" s="247"/>
      <c r="Y129" s="176">
        <v>0</v>
      </c>
      <c r="Z129" s="176">
        <v>26059.831578947367</v>
      </c>
      <c r="AA129" s="176">
        <v>852.63157894736844</v>
      </c>
      <c r="AB129" s="176">
        <v>0</v>
      </c>
      <c r="AC129" s="176">
        <v>0</v>
      </c>
      <c r="AD129" s="176">
        <f t="shared" si="46"/>
        <v>26912.463157894737</v>
      </c>
      <c r="AE129" s="247">
        <f t="shared" si="47"/>
        <v>21529.970526315792</v>
      </c>
      <c r="AF129" s="226"/>
      <c r="AG129" s="247">
        <v>1386.4499999999998</v>
      </c>
      <c r="AH129" s="247">
        <v>668.84999999999991</v>
      </c>
      <c r="AI129" s="247">
        <v>937.32631578947348</v>
      </c>
      <c r="AJ129" s="226"/>
      <c r="AK129" s="247">
        <f t="shared" si="48"/>
        <v>1109.1599999999999</v>
      </c>
      <c r="AL129" s="247">
        <f t="shared" si="49"/>
        <v>535.07999999999993</v>
      </c>
      <c r="AM129" s="247">
        <f t="shared" si="50"/>
        <v>749.86105263157879</v>
      </c>
      <c r="AN129" s="225"/>
      <c r="AO129" s="225">
        <v>0</v>
      </c>
      <c r="AP129" s="225">
        <v>0</v>
      </c>
      <c r="AQ129" s="225">
        <v>16555.5</v>
      </c>
      <c r="AR129" s="225">
        <v>0</v>
      </c>
      <c r="AS129" s="225">
        <v>0</v>
      </c>
      <c r="AT129" s="225">
        <v>0</v>
      </c>
      <c r="AU129" s="225">
        <v>643.5</v>
      </c>
      <c r="AV129" s="225">
        <f t="shared" si="51"/>
        <v>17199</v>
      </c>
      <c r="AX129" s="225">
        <f t="shared" si="52"/>
        <v>0</v>
      </c>
      <c r="AY129" s="225">
        <f t="shared" si="53"/>
        <v>0</v>
      </c>
      <c r="AZ129" s="225">
        <f t="shared" si="54"/>
        <v>-23177.700000000004</v>
      </c>
      <c r="BA129" s="225">
        <f t="shared" si="55"/>
        <v>-195</v>
      </c>
      <c r="BB129" s="225">
        <f t="shared" si="56"/>
        <v>0</v>
      </c>
      <c r="BC129" s="225">
        <f t="shared" si="57"/>
        <v>0</v>
      </c>
      <c r="BD129" s="225">
        <f t="shared" si="58"/>
        <v>-742.94999999999982</v>
      </c>
      <c r="BE129" s="225">
        <f t="shared" si="59"/>
        <v>-24115.650000000005</v>
      </c>
      <c r="BF129" s="225">
        <f t="shared" si="60"/>
        <v>0</v>
      </c>
      <c r="BG129" s="225">
        <f t="shared" si="33"/>
        <v>0</v>
      </c>
      <c r="BH129" s="225">
        <f t="shared" si="34"/>
        <v>0</v>
      </c>
      <c r="BI129" s="225">
        <f t="shared" si="35"/>
        <v>-15231.060000000005</v>
      </c>
      <c r="BJ129" s="225">
        <f t="shared" si="36"/>
        <v>-156</v>
      </c>
      <c r="BK129" s="225">
        <f t="shared" si="37"/>
        <v>0</v>
      </c>
      <c r="BL129" s="225">
        <f t="shared" si="38"/>
        <v>0</v>
      </c>
      <c r="BM129" s="225">
        <f t="shared" si="39"/>
        <v>-465.65999999999985</v>
      </c>
      <c r="BN129" s="225">
        <f t="shared" si="61"/>
        <v>-15852.720000000005</v>
      </c>
      <c r="BO129" s="225">
        <f t="shared" si="40"/>
        <v>0</v>
      </c>
      <c r="BP129" s="225"/>
      <c r="BQ129" s="225"/>
      <c r="BR129" s="225"/>
      <c r="BS129" s="225"/>
      <c r="BT129" s="225"/>
      <c r="BU129" s="225"/>
      <c r="BV129" s="225"/>
      <c r="BW129" s="225"/>
      <c r="BY129" s="176"/>
      <c r="BZ129" s="176"/>
      <c r="CA129" s="176"/>
      <c r="CB129" s="176"/>
      <c r="CC129" s="176"/>
      <c r="CD129" s="176"/>
      <c r="CE129" s="176"/>
      <c r="CF129" s="176"/>
      <c r="CH129" s="248"/>
      <c r="CI129" s="248"/>
      <c r="CJ129" s="248"/>
      <c r="CK129" s="248"/>
      <c r="CL129" s="248"/>
      <c r="CM129" s="248"/>
      <c r="CN129" s="248"/>
      <c r="CO129" s="248"/>
      <c r="CQ129" s="248"/>
      <c r="CR129" s="248"/>
      <c r="CS129" s="248"/>
      <c r="CT129" s="248"/>
      <c r="CU129" s="248"/>
      <c r="CV129" s="248"/>
      <c r="CW129" s="248"/>
      <c r="CX129" s="248"/>
      <c r="CY129" s="248"/>
      <c r="DA129" s="248"/>
      <c r="DB129" s="248"/>
      <c r="DC129" s="248"/>
      <c r="DD129" s="248"/>
      <c r="DE129" s="248"/>
      <c r="DF129" s="248"/>
      <c r="DG129" s="248"/>
      <c r="DH129" s="248"/>
      <c r="DJ129" s="179" t="e">
        <f>#REF!+((SUMIFS($F129:$AM129,$F$3:$AM$3,$DJ$7)*80%))+SUMIFS(#REF!,#REF!,$DJ$7)</f>
        <v>#REF!</v>
      </c>
      <c r="DK129" s="179">
        <f t="shared" si="63"/>
        <v>0</v>
      </c>
      <c r="DL129" s="173" t="e">
        <f t="shared" si="62"/>
        <v>#REF!</v>
      </c>
    </row>
    <row r="130" spans="1:116">
      <c r="A130" s="168">
        <v>2132</v>
      </c>
      <c r="B130" s="2">
        <v>146701</v>
      </c>
      <c r="C130" s="2" t="s">
        <v>332</v>
      </c>
      <c r="D130" s="30"/>
      <c r="E130" s="226"/>
      <c r="F130" s="176">
        <v>0</v>
      </c>
      <c r="G130" s="176">
        <v>0</v>
      </c>
      <c r="H130" s="176">
        <v>57392.4</v>
      </c>
      <c r="I130" s="176">
        <v>3315</v>
      </c>
      <c r="J130" s="176">
        <v>0</v>
      </c>
      <c r="K130" s="176">
        <v>0</v>
      </c>
      <c r="L130" s="30">
        <f t="shared" si="42"/>
        <v>60707.4</v>
      </c>
      <c r="M130" s="176">
        <f t="shared" si="43"/>
        <v>48565.920000000006</v>
      </c>
      <c r="N130" s="226"/>
      <c r="O130" s="176">
        <v>0</v>
      </c>
      <c r="P130" s="176">
        <v>0</v>
      </c>
      <c r="Q130" s="176">
        <v>46355.4</v>
      </c>
      <c r="R130" s="176">
        <v>1365</v>
      </c>
      <c r="S130" s="176">
        <v>0</v>
      </c>
      <c r="T130" s="176">
        <v>0</v>
      </c>
      <c r="U130" s="176">
        <f t="shared" si="44"/>
        <v>47720.4</v>
      </c>
      <c r="V130" s="176">
        <f t="shared" si="45"/>
        <v>38176.32</v>
      </c>
      <c r="W130" s="226"/>
      <c r="X130" s="247"/>
      <c r="Y130" s="176">
        <v>0</v>
      </c>
      <c r="Z130" s="176">
        <v>46972.042105263165</v>
      </c>
      <c r="AA130" s="176">
        <v>2216.8421052631584</v>
      </c>
      <c r="AB130" s="176">
        <v>0</v>
      </c>
      <c r="AC130" s="176">
        <v>0</v>
      </c>
      <c r="AD130" s="176">
        <f t="shared" si="46"/>
        <v>49188.884210526325</v>
      </c>
      <c r="AE130" s="247">
        <f t="shared" si="47"/>
        <v>39351.107368421064</v>
      </c>
      <c r="AF130" s="226"/>
      <c r="AG130" s="247">
        <v>1189.5</v>
      </c>
      <c r="AH130" s="247">
        <v>1131</v>
      </c>
      <c r="AI130" s="247">
        <v>1011.2210526315788</v>
      </c>
      <c r="AJ130" s="226"/>
      <c r="AK130" s="247">
        <f t="shared" si="48"/>
        <v>951.6</v>
      </c>
      <c r="AL130" s="247">
        <f t="shared" si="49"/>
        <v>904.80000000000007</v>
      </c>
      <c r="AM130" s="247">
        <f t="shared" si="50"/>
        <v>808.97684210526313</v>
      </c>
      <c r="AN130" s="225"/>
      <c r="AO130" s="225">
        <v>0</v>
      </c>
      <c r="AP130" s="225">
        <v>0</v>
      </c>
      <c r="AQ130" s="225">
        <v>51873.9</v>
      </c>
      <c r="AR130" s="225">
        <v>3120</v>
      </c>
      <c r="AS130" s="225">
        <v>0</v>
      </c>
      <c r="AT130" s="225">
        <v>0</v>
      </c>
      <c r="AU130" s="225">
        <v>1209</v>
      </c>
      <c r="AV130" s="225">
        <f t="shared" si="51"/>
        <v>56202.9</v>
      </c>
      <c r="AX130" s="225">
        <f t="shared" si="52"/>
        <v>0</v>
      </c>
      <c r="AY130" s="225">
        <f t="shared" si="53"/>
        <v>0</v>
      </c>
      <c r="AZ130" s="225">
        <f t="shared" si="54"/>
        <v>-5518.5</v>
      </c>
      <c r="BA130" s="225">
        <f t="shared" si="55"/>
        <v>-195</v>
      </c>
      <c r="BB130" s="225">
        <f t="shared" si="56"/>
        <v>0</v>
      </c>
      <c r="BC130" s="225">
        <f t="shared" si="57"/>
        <v>0</v>
      </c>
      <c r="BD130" s="225">
        <f t="shared" si="58"/>
        <v>19.5</v>
      </c>
      <c r="BE130" s="225">
        <f t="shared" si="59"/>
        <v>-5694</v>
      </c>
      <c r="BF130" s="225">
        <f t="shared" si="60"/>
        <v>0</v>
      </c>
      <c r="BG130" s="225">
        <f t="shared" si="33"/>
        <v>0</v>
      </c>
      <c r="BH130" s="225">
        <f t="shared" si="34"/>
        <v>0</v>
      </c>
      <c r="BI130" s="225">
        <f t="shared" si="35"/>
        <v>5959.9799999999959</v>
      </c>
      <c r="BJ130" s="225">
        <f t="shared" si="36"/>
        <v>468</v>
      </c>
      <c r="BK130" s="225">
        <f t="shared" si="37"/>
        <v>0</v>
      </c>
      <c r="BL130" s="225">
        <f t="shared" si="38"/>
        <v>0</v>
      </c>
      <c r="BM130" s="225">
        <f t="shared" si="39"/>
        <v>257.39999999999998</v>
      </c>
      <c r="BN130" s="225">
        <f t="shared" si="61"/>
        <v>6685.3799999999956</v>
      </c>
      <c r="BO130" s="225">
        <f t="shared" si="40"/>
        <v>0</v>
      </c>
      <c r="BP130" s="225"/>
      <c r="BQ130" s="225"/>
      <c r="BR130" s="225"/>
      <c r="BS130" s="225"/>
      <c r="BT130" s="225"/>
      <c r="BU130" s="225"/>
      <c r="BV130" s="225"/>
      <c r="BW130" s="225"/>
      <c r="BY130" s="176"/>
      <c r="BZ130" s="176"/>
      <c r="CA130" s="176"/>
      <c r="CB130" s="176"/>
      <c r="CC130" s="176"/>
      <c r="CD130" s="176"/>
      <c r="CE130" s="176"/>
      <c r="CF130" s="176"/>
      <c r="CH130" s="248"/>
      <c r="CI130" s="248"/>
      <c r="CJ130" s="248"/>
      <c r="CK130" s="248"/>
      <c r="CL130" s="248"/>
      <c r="CM130" s="248"/>
      <c r="CN130" s="248"/>
      <c r="CO130" s="248"/>
      <c r="CQ130" s="248"/>
      <c r="CR130" s="248"/>
      <c r="CS130" s="248"/>
      <c r="CT130" s="248"/>
      <c r="CU130" s="248"/>
      <c r="CV130" s="248"/>
      <c r="CW130" s="248"/>
      <c r="CX130" s="248"/>
      <c r="CY130" s="248"/>
      <c r="DA130" s="248"/>
      <c r="DB130" s="248"/>
      <c r="DC130" s="248"/>
      <c r="DD130" s="248"/>
      <c r="DE130" s="248"/>
      <c r="DF130" s="248"/>
      <c r="DG130" s="248"/>
      <c r="DH130" s="248"/>
      <c r="DJ130" s="179" t="e">
        <f>#REF!+((SUMIFS($F130:$AM130,$F$3:$AM$3,$DJ$7)*80%))+SUMIFS(#REF!,#REF!,$DJ$7)</f>
        <v>#REF!</v>
      </c>
      <c r="DK130" s="179">
        <f t="shared" si="63"/>
        <v>0</v>
      </c>
      <c r="DL130" s="173" t="e">
        <f t="shared" si="62"/>
        <v>#REF!</v>
      </c>
    </row>
    <row r="131" spans="1:116">
      <c r="A131" s="270">
        <v>3322</v>
      </c>
      <c r="B131" s="271">
        <v>151625</v>
      </c>
      <c r="C131" s="271" t="s">
        <v>12</v>
      </c>
      <c r="D131" s="30"/>
      <c r="E131" s="226"/>
      <c r="F131" s="176">
        <v>0</v>
      </c>
      <c r="G131" s="176">
        <v>0</v>
      </c>
      <c r="H131" s="176">
        <v>38629.5</v>
      </c>
      <c r="I131" s="176">
        <v>1755</v>
      </c>
      <c r="J131" s="176">
        <v>0</v>
      </c>
      <c r="K131" s="176">
        <v>0</v>
      </c>
      <c r="L131" s="30">
        <v>40384.5</v>
      </c>
      <c r="M131" s="176">
        <v>32307.600000000002</v>
      </c>
      <c r="N131" s="226"/>
      <c r="O131" s="176">
        <v>0</v>
      </c>
      <c r="P131" s="176">
        <v>0</v>
      </c>
      <c r="Q131" s="176">
        <v>23177.7</v>
      </c>
      <c r="R131" s="176">
        <v>585</v>
      </c>
      <c r="S131" s="176">
        <v>223.73684210526318</v>
      </c>
      <c r="T131" s="176">
        <v>0</v>
      </c>
      <c r="U131" s="176">
        <f t="shared" si="44"/>
        <v>23986.436842105264</v>
      </c>
      <c r="V131" s="176">
        <f t="shared" si="45"/>
        <v>19189.149473684211</v>
      </c>
      <c r="W131" s="226"/>
      <c r="X131" s="247"/>
      <c r="Y131" s="176">
        <v>0</v>
      </c>
      <c r="Z131" s="176">
        <v>26381.557894736845</v>
      </c>
      <c r="AA131" s="176">
        <v>852.63157894736844</v>
      </c>
      <c r="AB131" s="176">
        <v>65.21883656509695</v>
      </c>
      <c r="AC131" s="176">
        <v>0</v>
      </c>
      <c r="AD131" s="176">
        <f t="shared" si="46"/>
        <v>27299.408310249313</v>
      </c>
      <c r="AE131" s="247">
        <f t="shared" si="47"/>
        <v>21839.526648199451</v>
      </c>
      <c r="AF131" s="226"/>
      <c r="AG131" s="247">
        <v>661.05000000000007</v>
      </c>
      <c r="AH131" s="247">
        <v>175.5</v>
      </c>
      <c r="AI131" s="247">
        <v>385.38947368421054</v>
      </c>
      <c r="AJ131" s="226"/>
      <c r="AK131" s="247">
        <f t="shared" si="48"/>
        <v>528.84</v>
      </c>
      <c r="AL131" s="247">
        <f>AH131*80%</f>
        <v>140.4</v>
      </c>
      <c r="AM131" s="247">
        <f t="shared" si="50"/>
        <v>308.31157894736845</v>
      </c>
      <c r="AN131" s="225"/>
      <c r="AO131" s="225">
        <v>0</v>
      </c>
      <c r="AP131" s="225">
        <v>0</v>
      </c>
      <c r="AQ131" s="225">
        <v>41940.600000000006</v>
      </c>
      <c r="AR131" s="225">
        <v>1365</v>
      </c>
      <c r="AS131" s="225">
        <v>0</v>
      </c>
      <c r="AT131" s="225">
        <v>0</v>
      </c>
      <c r="AU131" s="225">
        <v>723.45</v>
      </c>
      <c r="AV131" s="225">
        <f t="shared" si="51"/>
        <v>44029.05</v>
      </c>
      <c r="AX131" s="225">
        <f t="shared" si="52"/>
        <v>0</v>
      </c>
      <c r="AY131" s="225">
        <f t="shared" si="53"/>
        <v>0</v>
      </c>
      <c r="AZ131" s="225">
        <f t="shared" si="54"/>
        <v>3311.1000000000058</v>
      </c>
      <c r="BA131" s="225">
        <f t="shared" si="55"/>
        <v>-390</v>
      </c>
      <c r="BB131" s="225">
        <f t="shared" si="56"/>
        <v>0</v>
      </c>
      <c r="BC131" s="225">
        <f t="shared" si="57"/>
        <v>0</v>
      </c>
      <c r="BD131" s="225">
        <f t="shared" si="58"/>
        <v>62.399999999999977</v>
      </c>
      <c r="BE131" s="225">
        <f t="shared" si="59"/>
        <v>2983.5000000000059</v>
      </c>
      <c r="BF131" s="225">
        <f t="shared" si="60"/>
        <v>0</v>
      </c>
      <c r="BG131" s="225">
        <f t="shared" si="33"/>
        <v>0</v>
      </c>
      <c r="BH131" s="225">
        <f t="shared" si="34"/>
        <v>0</v>
      </c>
      <c r="BI131" s="225">
        <f t="shared" si="35"/>
        <v>11037.000000000004</v>
      </c>
      <c r="BJ131" s="225">
        <f t="shared" si="36"/>
        <v>-39</v>
      </c>
      <c r="BK131" s="225">
        <f t="shared" si="37"/>
        <v>0</v>
      </c>
      <c r="BL131" s="225">
        <f t="shared" si="38"/>
        <v>0</v>
      </c>
      <c r="BM131" s="225">
        <f t="shared" si="39"/>
        <v>194.61</v>
      </c>
      <c r="BN131" s="225">
        <f t="shared" si="61"/>
        <v>11192.610000000004</v>
      </c>
      <c r="BO131" s="225">
        <f t="shared" si="40"/>
        <v>0</v>
      </c>
      <c r="BP131" s="225"/>
      <c r="BQ131" s="225"/>
      <c r="BR131" s="225"/>
      <c r="BS131" s="225"/>
      <c r="BT131" s="225"/>
      <c r="BU131" s="225"/>
      <c r="BV131" s="225"/>
      <c r="BW131" s="225"/>
      <c r="BY131" s="176"/>
      <c r="BZ131" s="176"/>
      <c r="CA131" s="176"/>
      <c r="CB131" s="176"/>
      <c r="CC131" s="176"/>
      <c r="CD131" s="176"/>
      <c r="CE131" s="176"/>
      <c r="CF131" s="176"/>
      <c r="CH131" s="248"/>
      <c r="CI131" s="248"/>
      <c r="CJ131" s="248"/>
      <c r="CK131" s="248"/>
      <c r="CL131" s="248"/>
      <c r="CM131" s="248"/>
      <c r="CN131" s="248"/>
      <c r="CO131" s="248"/>
      <c r="CQ131" s="248"/>
      <c r="CR131" s="248"/>
      <c r="CS131" s="248"/>
      <c r="CT131" s="248"/>
      <c r="CU131" s="248"/>
      <c r="CV131" s="248"/>
      <c r="CW131" s="248"/>
      <c r="CX131" s="248"/>
      <c r="CY131" s="248"/>
      <c r="DA131" s="248"/>
      <c r="DB131" s="248"/>
      <c r="DC131" s="248"/>
      <c r="DD131" s="248"/>
      <c r="DE131" s="248"/>
      <c r="DF131" s="248"/>
      <c r="DG131" s="248"/>
      <c r="DH131" s="248"/>
      <c r="DJ131" s="179" t="e">
        <f>#REF!+((SUMIFS($F131:$AM131,$F$3:$AM$3,$DJ$7)*80%))+SUMIFS(#REF!,#REF!,$DJ$7)</f>
        <v>#REF!</v>
      </c>
      <c r="DK131" s="179">
        <f t="shared" si="63"/>
        <v>0</v>
      </c>
      <c r="DL131" s="173" t="e">
        <f t="shared" si="62"/>
        <v>#REF!</v>
      </c>
    </row>
    <row r="132" spans="1:116">
      <c r="A132" s="168">
        <v>7004</v>
      </c>
      <c r="B132" s="2">
        <v>148225</v>
      </c>
      <c r="C132" s="2" t="s">
        <v>333</v>
      </c>
      <c r="D132" s="30"/>
      <c r="E132" s="226"/>
      <c r="F132" s="176">
        <v>0</v>
      </c>
      <c r="G132" s="176">
        <v>0</v>
      </c>
      <c r="H132" s="176">
        <v>0</v>
      </c>
      <c r="I132" s="176">
        <v>0</v>
      </c>
      <c r="J132" s="176">
        <v>0</v>
      </c>
      <c r="K132" s="176">
        <v>0</v>
      </c>
      <c r="L132" s="30">
        <f t="shared" si="42"/>
        <v>0</v>
      </c>
      <c r="M132" s="176">
        <f t="shared" si="43"/>
        <v>0</v>
      </c>
      <c r="N132" s="226"/>
      <c r="O132" s="176">
        <v>0</v>
      </c>
      <c r="P132" s="176">
        <v>0</v>
      </c>
      <c r="Q132" s="176">
        <v>0</v>
      </c>
      <c r="R132" s="176">
        <v>0</v>
      </c>
      <c r="S132" s="176">
        <v>0</v>
      </c>
      <c r="T132" s="176">
        <v>0</v>
      </c>
      <c r="U132" s="176">
        <f t="shared" si="44"/>
        <v>0</v>
      </c>
      <c r="V132" s="176">
        <f t="shared" si="45"/>
        <v>0</v>
      </c>
      <c r="W132" s="226"/>
      <c r="X132" s="247"/>
      <c r="Y132" s="176">
        <v>0</v>
      </c>
      <c r="Z132" s="176">
        <v>0</v>
      </c>
      <c r="AA132" s="176">
        <v>0</v>
      </c>
      <c r="AB132" s="176">
        <v>0</v>
      </c>
      <c r="AC132" s="176">
        <v>0</v>
      </c>
      <c r="AD132" s="176">
        <f t="shared" si="46"/>
        <v>0</v>
      </c>
      <c r="AE132" s="247">
        <f t="shared" si="47"/>
        <v>0</v>
      </c>
      <c r="AF132" s="226"/>
      <c r="AG132" s="247">
        <v>0</v>
      </c>
      <c r="AH132" s="247">
        <v>0</v>
      </c>
      <c r="AI132" s="247">
        <v>0</v>
      </c>
      <c r="AJ132" s="226"/>
      <c r="AK132" s="247">
        <f t="shared" si="48"/>
        <v>0</v>
      </c>
      <c r="AL132" s="247">
        <f t="shared" si="49"/>
        <v>0</v>
      </c>
      <c r="AM132" s="247">
        <f t="shared" si="50"/>
        <v>0</v>
      </c>
      <c r="AN132" s="225"/>
      <c r="AO132" s="225">
        <v>0</v>
      </c>
      <c r="AP132" s="225">
        <v>0</v>
      </c>
      <c r="AQ132" s="225">
        <v>0</v>
      </c>
      <c r="AR132" s="225">
        <v>0</v>
      </c>
      <c r="AS132" s="225">
        <v>0</v>
      </c>
      <c r="AT132" s="225">
        <v>0</v>
      </c>
      <c r="AU132" s="225">
        <v>0</v>
      </c>
      <c r="AV132" s="225">
        <f t="shared" si="51"/>
        <v>0</v>
      </c>
      <c r="AX132" s="225">
        <f t="shared" si="52"/>
        <v>0</v>
      </c>
      <c r="AY132" s="225">
        <f t="shared" si="53"/>
        <v>0</v>
      </c>
      <c r="AZ132" s="225">
        <f t="shared" si="54"/>
        <v>0</v>
      </c>
      <c r="BA132" s="225">
        <f t="shared" si="55"/>
        <v>0</v>
      </c>
      <c r="BB132" s="225">
        <f t="shared" si="56"/>
        <v>0</v>
      </c>
      <c r="BC132" s="225">
        <f t="shared" si="57"/>
        <v>0</v>
      </c>
      <c r="BD132" s="225">
        <f t="shared" si="58"/>
        <v>0</v>
      </c>
      <c r="BE132" s="225">
        <f t="shared" si="59"/>
        <v>0</v>
      </c>
      <c r="BF132" s="225">
        <f t="shared" si="60"/>
        <v>0</v>
      </c>
      <c r="BG132" s="225">
        <f t="shared" si="33"/>
        <v>0</v>
      </c>
      <c r="BH132" s="225">
        <f t="shared" si="34"/>
        <v>0</v>
      </c>
      <c r="BI132" s="225">
        <f t="shared" si="35"/>
        <v>0</v>
      </c>
      <c r="BJ132" s="225">
        <f t="shared" si="36"/>
        <v>0</v>
      </c>
      <c r="BK132" s="225">
        <f t="shared" si="37"/>
        <v>0</v>
      </c>
      <c r="BL132" s="225">
        <f t="shared" si="38"/>
        <v>0</v>
      </c>
      <c r="BM132" s="225">
        <f t="shared" si="39"/>
        <v>0</v>
      </c>
      <c r="BN132" s="225">
        <f t="shared" si="61"/>
        <v>0</v>
      </c>
      <c r="BO132" s="225">
        <f t="shared" si="40"/>
        <v>0</v>
      </c>
      <c r="BP132" s="225"/>
      <c r="BQ132" s="225"/>
      <c r="BR132" s="225"/>
      <c r="BS132" s="225"/>
      <c r="BT132" s="225"/>
      <c r="BU132" s="225"/>
      <c r="BV132" s="225"/>
      <c r="BW132" s="225"/>
      <c r="BY132" s="176"/>
      <c r="BZ132" s="176"/>
      <c r="CA132" s="176"/>
      <c r="CB132" s="176"/>
      <c r="CC132" s="176"/>
      <c r="CD132" s="176"/>
      <c r="CE132" s="176"/>
      <c r="CF132" s="176"/>
      <c r="CH132" s="248"/>
      <c r="CI132" s="248"/>
      <c r="CJ132" s="248"/>
      <c r="CK132" s="248"/>
      <c r="CL132" s="248"/>
      <c r="CM132" s="248"/>
      <c r="CN132" s="248"/>
      <c r="CO132" s="248"/>
      <c r="CQ132" s="248"/>
      <c r="CR132" s="248"/>
      <c r="CS132" s="248"/>
      <c r="CT132" s="248"/>
      <c r="CU132" s="248"/>
      <c r="CV132" s="248"/>
      <c r="CW132" s="248"/>
      <c r="CX132" s="248"/>
      <c r="CY132" s="248"/>
      <c r="DA132" s="248"/>
      <c r="DB132" s="248"/>
      <c r="DC132" s="248"/>
      <c r="DD132" s="248"/>
      <c r="DE132" s="248"/>
      <c r="DF132" s="248"/>
      <c r="DG132" s="248"/>
      <c r="DH132" s="248"/>
      <c r="DJ132" s="179" t="e">
        <f>#REF!+((SUMIFS($F132:$AM132,$F$3:$AM$3,$DJ$7)*80%))+SUMIFS(#REF!,#REF!,$DJ$7)</f>
        <v>#REF!</v>
      </c>
      <c r="DK132" s="179">
        <f t="shared" si="63"/>
        <v>0</v>
      </c>
      <c r="DL132" s="173" t="e">
        <f t="shared" si="62"/>
        <v>#REF!</v>
      </c>
    </row>
    <row r="133" spans="1:116">
      <c r="A133" s="168">
        <v>2463</v>
      </c>
      <c r="B133" s="2">
        <v>139452</v>
      </c>
      <c r="C133" s="2" t="s">
        <v>334</v>
      </c>
      <c r="D133" s="30"/>
      <c r="E133" s="226"/>
      <c r="F133" s="176">
        <v>0</v>
      </c>
      <c r="G133" s="176">
        <v>0</v>
      </c>
      <c r="H133" s="176">
        <v>54081.3</v>
      </c>
      <c r="I133" s="176">
        <v>780</v>
      </c>
      <c r="J133" s="176">
        <v>0</v>
      </c>
      <c r="K133" s="176">
        <v>0</v>
      </c>
      <c r="L133" s="30">
        <f t="shared" si="42"/>
        <v>54861.3</v>
      </c>
      <c r="M133" s="176">
        <f t="shared" si="43"/>
        <v>43889.040000000008</v>
      </c>
      <c r="N133" s="226"/>
      <c r="O133" s="176">
        <v>0</v>
      </c>
      <c r="P133" s="176">
        <v>0</v>
      </c>
      <c r="Q133" s="176">
        <v>34214.699999999997</v>
      </c>
      <c r="R133" s="176">
        <v>0</v>
      </c>
      <c r="S133" s="176">
        <v>0</v>
      </c>
      <c r="T133" s="176">
        <v>0</v>
      </c>
      <c r="U133" s="176">
        <f t="shared" si="44"/>
        <v>34214.699999999997</v>
      </c>
      <c r="V133" s="176">
        <f t="shared" si="45"/>
        <v>27371.759999999998</v>
      </c>
      <c r="W133" s="226"/>
      <c r="X133" s="247"/>
      <c r="Y133" s="176">
        <v>0</v>
      </c>
      <c r="Z133" s="176">
        <v>41180.968421052632</v>
      </c>
      <c r="AA133" s="176">
        <v>227.36842105263156</v>
      </c>
      <c r="AB133" s="176">
        <v>0</v>
      </c>
      <c r="AC133" s="176">
        <v>0</v>
      </c>
      <c r="AD133" s="176">
        <f t="shared" si="46"/>
        <v>41408.336842105266</v>
      </c>
      <c r="AE133" s="247">
        <f t="shared" si="47"/>
        <v>33126.669473684211</v>
      </c>
      <c r="AF133" s="226"/>
      <c r="AG133" s="247">
        <v>15.6</v>
      </c>
      <c r="AH133" s="247">
        <v>15.6</v>
      </c>
      <c r="AI133" s="247">
        <v>13.642105263157895</v>
      </c>
      <c r="AJ133" s="226"/>
      <c r="AK133" s="247">
        <f t="shared" si="48"/>
        <v>12.48</v>
      </c>
      <c r="AL133" s="247">
        <f t="shared" si="49"/>
        <v>12.48</v>
      </c>
      <c r="AM133" s="247">
        <f t="shared" si="50"/>
        <v>10.913684210526316</v>
      </c>
      <c r="AN133" s="225"/>
      <c r="AO133" s="225">
        <v>0</v>
      </c>
      <c r="AP133" s="225">
        <v>0</v>
      </c>
      <c r="AQ133" s="225">
        <v>43044.3</v>
      </c>
      <c r="AR133" s="225">
        <v>0</v>
      </c>
      <c r="AS133" s="225">
        <v>0</v>
      </c>
      <c r="AT133" s="225">
        <v>0</v>
      </c>
      <c r="AU133" s="225">
        <v>15.6</v>
      </c>
      <c r="AV133" s="225">
        <f t="shared" si="51"/>
        <v>43059.9</v>
      </c>
      <c r="AX133" s="225">
        <f t="shared" si="52"/>
        <v>0</v>
      </c>
      <c r="AY133" s="225">
        <f t="shared" si="53"/>
        <v>0</v>
      </c>
      <c r="AZ133" s="225">
        <f t="shared" si="54"/>
        <v>-11037</v>
      </c>
      <c r="BA133" s="225">
        <f t="shared" si="55"/>
        <v>-780</v>
      </c>
      <c r="BB133" s="225">
        <f t="shared" si="56"/>
        <v>0</v>
      </c>
      <c r="BC133" s="225">
        <f t="shared" si="57"/>
        <v>0</v>
      </c>
      <c r="BD133" s="225">
        <f t="shared" si="58"/>
        <v>0</v>
      </c>
      <c r="BE133" s="225">
        <f t="shared" si="59"/>
        <v>-11817</v>
      </c>
      <c r="BF133" s="225">
        <f t="shared" si="60"/>
        <v>0</v>
      </c>
      <c r="BG133" s="225">
        <f t="shared" si="33"/>
        <v>0</v>
      </c>
      <c r="BH133" s="225">
        <f t="shared" si="34"/>
        <v>0</v>
      </c>
      <c r="BI133" s="225">
        <f t="shared" si="35"/>
        <v>-220.74000000000524</v>
      </c>
      <c r="BJ133" s="225">
        <f t="shared" si="36"/>
        <v>-624</v>
      </c>
      <c r="BK133" s="225">
        <f t="shared" si="37"/>
        <v>0</v>
      </c>
      <c r="BL133" s="225">
        <f t="shared" si="38"/>
        <v>0</v>
      </c>
      <c r="BM133" s="225">
        <f t="shared" si="39"/>
        <v>3.1199999999999992</v>
      </c>
      <c r="BN133" s="225">
        <f t="shared" si="61"/>
        <v>-841.62000000000523</v>
      </c>
      <c r="BO133" s="225">
        <f t="shared" si="40"/>
        <v>0</v>
      </c>
      <c r="BP133" s="225"/>
      <c r="BQ133" s="225"/>
      <c r="BR133" s="225"/>
      <c r="BS133" s="225"/>
      <c r="BT133" s="225"/>
      <c r="BU133" s="225"/>
      <c r="BV133" s="225"/>
      <c r="BW133" s="225"/>
      <c r="BY133" s="176"/>
      <c r="BZ133" s="176"/>
      <c r="CA133" s="176"/>
      <c r="CB133" s="176"/>
      <c r="CC133" s="176"/>
      <c r="CD133" s="176"/>
      <c r="CE133" s="176"/>
      <c r="CF133" s="176"/>
      <c r="CH133" s="248"/>
      <c r="CI133" s="248"/>
      <c r="CJ133" s="248"/>
      <c r="CK133" s="248"/>
      <c r="CL133" s="248"/>
      <c r="CM133" s="248"/>
      <c r="CN133" s="248"/>
      <c r="CO133" s="248"/>
      <c r="CQ133" s="248"/>
      <c r="CR133" s="248"/>
      <c r="CS133" s="248"/>
      <c r="CT133" s="248"/>
      <c r="CU133" s="248"/>
      <c r="CV133" s="248"/>
      <c r="CW133" s="248"/>
      <c r="CX133" s="248"/>
      <c r="CY133" s="248"/>
      <c r="DA133" s="248"/>
      <c r="DB133" s="248"/>
      <c r="DC133" s="248"/>
      <c r="DD133" s="248"/>
      <c r="DE133" s="248"/>
      <c r="DF133" s="248"/>
      <c r="DG133" s="248"/>
      <c r="DH133" s="248"/>
      <c r="DJ133" s="179" t="e">
        <f>#REF!+((SUMIFS($F133:$AM133,$F$3:$AM$3,$DJ$7)*80%))+SUMIFS(#REF!,#REF!,$DJ$7)</f>
        <v>#REF!</v>
      </c>
      <c r="DK133" s="179">
        <f t="shared" si="63"/>
        <v>0</v>
      </c>
      <c r="DL133" s="173" t="e">
        <f t="shared" si="62"/>
        <v>#REF!</v>
      </c>
    </row>
    <row r="134" spans="1:116">
      <c r="A134" s="168">
        <v>2100</v>
      </c>
      <c r="B134" s="2">
        <v>139014</v>
      </c>
      <c r="C134" s="2" t="s">
        <v>335</v>
      </c>
      <c r="D134" s="30"/>
      <c r="E134" s="226"/>
      <c r="F134" s="176">
        <v>0</v>
      </c>
      <c r="G134" s="176">
        <v>0</v>
      </c>
      <c r="H134" s="176">
        <v>28696.2</v>
      </c>
      <c r="I134" s="176">
        <v>3705</v>
      </c>
      <c r="J134" s="176">
        <v>0</v>
      </c>
      <c r="K134" s="176">
        <v>0</v>
      </c>
      <c r="L134" s="30">
        <f t="shared" si="42"/>
        <v>32401.200000000001</v>
      </c>
      <c r="M134" s="176">
        <f t="shared" si="43"/>
        <v>25920.960000000003</v>
      </c>
      <c r="N134" s="226"/>
      <c r="O134" s="176">
        <v>0</v>
      </c>
      <c r="P134" s="176">
        <v>0</v>
      </c>
      <c r="Q134" s="176">
        <v>22074</v>
      </c>
      <c r="R134" s="176">
        <v>2535</v>
      </c>
      <c r="S134" s="176">
        <v>969.52631578947376</v>
      </c>
      <c r="T134" s="176">
        <v>0</v>
      </c>
      <c r="U134" s="176">
        <f t="shared" si="44"/>
        <v>25578.526315789473</v>
      </c>
      <c r="V134" s="176">
        <f t="shared" si="45"/>
        <v>20462.821052631582</v>
      </c>
      <c r="W134" s="226"/>
      <c r="X134" s="247"/>
      <c r="Y134" s="176">
        <v>0</v>
      </c>
      <c r="Z134" s="176">
        <v>22199.115789473683</v>
      </c>
      <c r="AA134" s="176">
        <v>2785.2631578947367</v>
      </c>
      <c r="AB134" s="176">
        <v>652.18836565096944</v>
      </c>
      <c r="AC134" s="176">
        <v>0</v>
      </c>
      <c r="AD134" s="176">
        <f t="shared" si="46"/>
        <v>25636.56731301939</v>
      </c>
      <c r="AE134" s="247">
        <f t="shared" si="47"/>
        <v>20509.253850415513</v>
      </c>
      <c r="AF134" s="226"/>
      <c r="AG134" s="247">
        <v>2174.25</v>
      </c>
      <c r="AH134" s="247">
        <v>1817.3999999999999</v>
      </c>
      <c r="AI134" s="247">
        <v>1729.7052631578945</v>
      </c>
      <c r="AJ134" s="226"/>
      <c r="AK134" s="247">
        <f t="shared" si="48"/>
        <v>1739.4</v>
      </c>
      <c r="AL134" s="247">
        <f t="shared" si="49"/>
        <v>1453.92</v>
      </c>
      <c r="AM134" s="247">
        <f t="shared" si="50"/>
        <v>1383.7642105263158</v>
      </c>
      <c r="AN134" s="225"/>
      <c r="AO134" s="225">
        <v>0</v>
      </c>
      <c r="AP134" s="225">
        <v>0</v>
      </c>
      <c r="AQ134" s="225">
        <v>27592.5</v>
      </c>
      <c r="AR134" s="225">
        <v>2730</v>
      </c>
      <c r="AS134" s="225">
        <v>1044.1052631578948</v>
      </c>
      <c r="AT134" s="225">
        <v>0</v>
      </c>
      <c r="AU134" s="225">
        <v>2287.35</v>
      </c>
      <c r="AV134" s="225">
        <f t="shared" si="51"/>
        <v>33653.955263157892</v>
      </c>
      <c r="AX134" s="225">
        <f t="shared" si="52"/>
        <v>0</v>
      </c>
      <c r="AY134" s="225">
        <f t="shared" si="53"/>
        <v>0</v>
      </c>
      <c r="AZ134" s="225">
        <f t="shared" si="54"/>
        <v>-1103.7000000000007</v>
      </c>
      <c r="BA134" s="225">
        <f t="shared" si="55"/>
        <v>-975</v>
      </c>
      <c r="BB134" s="225">
        <f t="shared" si="56"/>
        <v>1044.1052631578948</v>
      </c>
      <c r="BC134" s="225">
        <f t="shared" si="57"/>
        <v>0</v>
      </c>
      <c r="BD134" s="225">
        <f t="shared" si="58"/>
        <v>113.09999999999991</v>
      </c>
      <c r="BE134" s="225">
        <f t="shared" si="59"/>
        <v>-921.49473684210602</v>
      </c>
      <c r="BF134" s="225">
        <f t="shared" si="60"/>
        <v>0</v>
      </c>
      <c r="BG134" s="225">
        <f t="shared" si="33"/>
        <v>0</v>
      </c>
      <c r="BH134" s="225">
        <f t="shared" si="34"/>
        <v>0</v>
      </c>
      <c r="BI134" s="225">
        <f t="shared" si="35"/>
        <v>4635.5399999999972</v>
      </c>
      <c r="BJ134" s="225">
        <f t="shared" si="36"/>
        <v>-234</v>
      </c>
      <c r="BK134" s="225">
        <f t="shared" si="37"/>
        <v>1044.1052631578948</v>
      </c>
      <c r="BL134" s="225">
        <f t="shared" si="38"/>
        <v>0</v>
      </c>
      <c r="BM134" s="225">
        <f t="shared" si="39"/>
        <v>547.94999999999982</v>
      </c>
      <c r="BN134" s="225">
        <f t="shared" si="61"/>
        <v>5993.5952631578921</v>
      </c>
      <c r="BO134" s="225">
        <f t="shared" si="40"/>
        <v>0</v>
      </c>
      <c r="BP134" s="225"/>
      <c r="BQ134" s="225"/>
      <c r="BR134" s="225"/>
      <c r="BS134" s="225"/>
      <c r="BT134" s="225"/>
      <c r="BU134" s="225"/>
      <c r="BV134" s="225"/>
      <c r="BW134" s="225"/>
      <c r="BY134" s="176"/>
      <c r="BZ134" s="176"/>
      <c r="CA134" s="176"/>
      <c r="CB134" s="176"/>
      <c r="CC134" s="176"/>
      <c r="CD134" s="176"/>
      <c r="CE134" s="176"/>
      <c r="CF134" s="176"/>
      <c r="CH134" s="248"/>
      <c r="CI134" s="248"/>
      <c r="CJ134" s="248"/>
      <c r="CK134" s="248"/>
      <c r="CL134" s="248"/>
      <c r="CM134" s="248"/>
      <c r="CN134" s="248"/>
      <c r="CO134" s="248"/>
      <c r="CQ134" s="248"/>
      <c r="CR134" s="248"/>
      <c r="CS134" s="248"/>
      <c r="CT134" s="248"/>
      <c r="CU134" s="248"/>
      <c r="CV134" s="248"/>
      <c r="CW134" s="248"/>
      <c r="CX134" s="248"/>
      <c r="CY134" s="248"/>
      <c r="DA134" s="248"/>
      <c r="DB134" s="248"/>
      <c r="DC134" s="248"/>
      <c r="DD134" s="248"/>
      <c r="DE134" s="248"/>
      <c r="DF134" s="248"/>
      <c r="DG134" s="248"/>
      <c r="DH134" s="248"/>
      <c r="DJ134" s="179" t="e">
        <f>#REF!+((SUMIFS($F134:$AM134,$F$3:$AM$3,$DJ$7)*80%))+SUMIFS(#REF!,#REF!,$DJ$7)</f>
        <v>#REF!</v>
      </c>
      <c r="DK134" s="179">
        <f t="shared" si="63"/>
        <v>0</v>
      </c>
      <c r="DL134" s="173" t="e">
        <f t="shared" si="62"/>
        <v>#REF!</v>
      </c>
    </row>
    <row r="135" spans="1:116">
      <c r="A135" s="168">
        <v>2070</v>
      </c>
      <c r="B135" s="2">
        <v>138864</v>
      </c>
      <c r="C135" s="2" t="s">
        <v>336</v>
      </c>
      <c r="D135" s="30"/>
      <c r="E135" s="226"/>
      <c r="F135" s="176">
        <v>0</v>
      </c>
      <c r="G135" s="176">
        <v>0</v>
      </c>
      <c r="H135" s="176">
        <v>23177.7</v>
      </c>
      <c r="I135" s="176">
        <v>2145</v>
      </c>
      <c r="J135" s="176">
        <v>820.36842105263156</v>
      </c>
      <c r="K135" s="176">
        <v>0</v>
      </c>
      <c r="L135" s="30">
        <f t="shared" si="42"/>
        <v>26143.068421052631</v>
      </c>
      <c r="M135" s="176">
        <f t="shared" si="43"/>
        <v>20914.454736842104</v>
      </c>
      <c r="N135" s="226"/>
      <c r="O135" s="176">
        <v>0</v>
      </c>
      <c r="P135" s="176">
        <v>0</v>
      </c>
      <c r="Q135" s="176">
        <v>14348.1</v>
      </c>
      <c r="R135" s="176">
        <v>780</v>
      </c>
      <c r="S135" s="176">
        <v>298.31578947368422</v>
      </c>
      <c r="T135" s="176">
        <v>0</v>
      </c>
      <c r="U135" s="176">
        <f t="shared" si="44"/>
        <v>15426.415789473685</v>
      </c>
      <c r="V135" s="176">
        <f t="shared" si="45"/>
        <v>12341.132631578948</v>
      </c>
      <c r="W135" s="226"/>
      <c r="X135" s="247"/>
      <c r="Y135" s="176">
        <v>0</v>
      </c>
      <c r="Z135" s="176">
        <v>15764.589473684209</v>
      </c>
      <c r="AA135" s="176">
        <v>1364.2105263157894</v>
      </c>
      <c r="AB135" s="176">
        <v>500.01108033240996</v>
      </c>
      <c r="AC135" s="176">
        <v>0</v>
      </c>
      <c r="AD135" s="176">
        <f t="shared" si="46"/>
        <v>17628.811080332409</v>
      </c>
      <c r="AE135" s="247">
        <f t="shared" si="47"/>
        <v>14103.048864265927</v>
      </c>
      <c r="AF135" s="226"/>
      <c r="AG135" s="247">
        <v>1421.55</v>
      </c>
      <c r="AH135" s="247">
        <v>924.3</v>
      </c>
      <c r="AI135" s="247">
        <v>986.77894736842097</v>
      </c>
      <c r="AJ135" s="226"/>
      <c r="AK135" s="247">
        <f t="shared" si="48"/>
        <v>1137.24</v>
      </c>
      <c r="AL135" s="247">
        <f t="shared" si="49"/>
        <v>739.44</v>
      </c>
      <c r="AM135" s="247">
        <f t="shared" si="50"/>
        <v>789.42315789473685</v>
      </c>
      <c r="AN135" s="225"/>
      <c r="AO135" s="225">
        <v>0</v>
      </c>
      <c r="AP135" s="225">
        <v>0</v>
      </c>
      <c r="AQ135" s="225">
        <v>24281.4</v>
      </c>
      <c r="AR135" s="225">
        <v>1755</v>
      </c>
      <c r="AS135" s="225">
        <v>671.21052631578948</v>
      </c>
      <c r="AT135" s="225">
        <v>0</v>
      </c>
      <c r="AU135" s="225">
        <v>1456.65</v>
      </c>
      <c r="AV135" s="225">
        <f t="shared" si="51"/>
        <v>28164.260526315793</v>
      </c>
      <c r="AX135" s="225">
        <f t="shared" si="52"/>
        <v>0</v>
      </c>
      <c r="AY135" s="225">
        <f t="shared" si="53"/>
        <v>0</v>
      </c>
      <c r="AZ135" s="225">
        <f t="shared" si="54"/>
        <v>1103.7000000000007</v>
      </c>
      <c r="BA135" s="225">
        <f t="shared" si="55"/>
        <v>-390</v>
      </c>
      <c r="BB135" s="225">
        <f t="shared" si="56"/>
        <v>-149.15789473684208</v>
      </c>
      <c r="BC135" s="225">
        <f t="shared" si="57"/>
        <v>0</v>
      </c>
      <c r="BD135" s="225">
        <f t="shared" si="58"/>
        <v>35.100000000000136</v>
      </c>
      <c r="BE135" s="225">
        <f t="shared" si="59"/>
        <v>599.64210526315878</v>
      </c>
      <c r="BF135" s="225">
        <f t="shared" si="60"/>
        <v>0</v>
      </c>
      <c r="BG135" s="225">
        <f t="shared" si="33"/>
        <v>0</v>
      </c>
      <c r="BH135" s="225">
        <f t="shared" si="34"/>
        <v>0</v>
      </c>
      <c r="BI135" s="225">
        <f t="shared" si="35"/>
        <v>5739.2400000000016</v>
      </c>
      <c r="BJ135" s="225">
        <f t="shared" si="36"/>
        <v>39</v>
      </c>
      <c r="BK135" s="225">
        <f t="shared" si="37"/>
        <v>14.915789473684185</v>
      </c>
      <c r="BL135" s="225">
        <f t="shared" si="38"/>
        <v>0</v>
      </c>
      <c r="BM135" s="225">
        <f t="shared" si="39"/>
        <v>319.41000000000008</v>
      </c>
      <c r="BN135" s="225">
        <f t="shared" si="61"/>
        <v>6112.565789473686</v>
      </c>
      <c r="BO135" s="225">
        <f t="shared" si="40"/>
        <v>0</v>
      </c>
      <c r="BP135" s="225"/>
      <c r="BQ135" s="225"/>
      <c r="BR135" s="225"/>
      <c r="BS135" s="225"/>
      <c r="BT135" s="225"/>
      <c r="BU135" s="225"/>
      <c r="BV135" s="225"/>
      <c r="BW135" s="225"/>
      <c r="BY135" s="176"/>
      <c r="BZ135" s="176"/>
      <c r="CA135" s="176"/>
      <c r="CB135" s="176"/>
      <c r="CC135" s="176"/>
      <c r="CD135" s="176"/>
      <c r="CE135" s="176"/>
      <c r="CF135" s="176"/>
      <c r="CH135" s="248"/>
      <c r="CI135" s="248"/>
      <c r="CJ135" s="248"/>
      <c r="CK135" s="248"/>
      <c r="CL135" s="248"/>
      <c r="CM135" s="248"/>
      <c r="CN135" s="248"/>
      <c r="CO135" s="248"/>
      <c r="CQ135" s="248"/>
      <c r="CR135" s="248"/>
      <c r="CS135" s="248"/>
      <c r="CT135" s="248"/>
      <c r="CU135" s="248"/>
      <c r="CV135" s="248"/>
      <c r="CW135" s="248"/>
      <c r="CX135" s="248"/>
      <c r="CY135" s="248"/>
      <c r="DA135" s="248"/>
      <c r="DB135" s="248"/>
      <c r="DC135" s="248"/>
      <c r="DD135" s="248"/>
      <c r="DE135" s="248"/>
      <c r="DF135" s="248"/>
      <c r="DG135" s="248"/>
      <c r="DH135" s="248"/>
      <c r="DJ135" s="179" t="e">
        <f>#REF!+((SUMIFS($F135:$AM135,$F$3:$AM$3,$DJ$7)*80%))+SUMIFS(#REF!,#REF!,$DJ$7)</f>
        <v>#REF!</v>
      </c>
      <c r="DK135" s="179">
        <f t="shared" si="63"/>
        <v>0</v>
      </c>
      <c r="DL135" s="173" t="e">
        <f t="shared" si="62"/>
        <v>#REF!</v>
      </c>
    </row>
    <row r="136" spans="1:116">
      <c r="A136" s="168">
        <v>2078</v>
      </c>
      <c r="B136" s="2">
        <v>139000</v>
      </c>
      <c r="C136" s="2" t="s">
        <v>337</v>
      </c>
      <c r="D136" s="30"/>
      <c r="E136" s="226"/>
      <c r="F136" s="176">
        <v>0</v>
      </c>
      <c r="G136" s="176">
        <v>0</v>
      </c>
      <c r="H136" s="176">
        <v>43250.324000000001</v>
      </c>
      <c r="I136" s="176">
        <v>1170</v>
      </c>
      <c r="J136" s="176">
        <v>447.47368421052636</v>
      </c>
      <c r="K136" s="176">
        <v>0</v>
      </c>
      <c r="L136" s="30">
        <f t="shared" si="42"/>
        <v>44867.797684210527</v>
      </c>
      <c r="M136" s="176">
        <f t="shared" si="43"/>
        <v>35894.238147368422</v>
      </c>
      <c r="N136" s="226"/>
      <c r="O136" s="176">
        <v>0</v>
      </c>
      <c r="P136" s="176">
        <v>0</v>
      </c>
      <c r="Q136" s="176">
        <v>34950.5</v>
      </c>
      <c r="R136" s="176">
        <v>195</v>
      </c>
      <c r="S136" s="176">
        <v>74.578947368421055</v>
      </c>
      <c r="T136" s="176">
        <v>0</v>
      </c>
      <c r="U136" s="176">
        <f t="shared" si="44"/>
        <v>35220.07894736842</v>
      </c>
      <c r="V136" s="176">
        <f t="shared" si="45"/>
        <v>28176.063157894736</v>
      </c>
      <c r="W136" s="226"/>
      <c r="X136" s="247"/>
      <c r="Y136" s="176">
        <v>0</v>
      </c>
      <c r="Z136" s="176">
        <v>34356.080842105264</v>
      </c>
      <c r="AA136" s="176">
        <v>625.26315789473688</v>
      </c>
      <c r="AB136" s="176">
        <v>239.13573407202216</v>
      </c>
      <c r="AC136" s="176">
        <v>0</v>
      </c>
      <c r="AD136" s="176">
        <f t="shared" si="46"/>
        <v>35220.479734072025</v>
      </c>
      <c r="AE136" s="247">
        <f t="shared" si="47"/>
        <v>28176.383787257622</v>
      </c>
      <c r="AF136" s="226"/>
      <c r="AG136" s="247">
        <v>448.37</v>
      </c>
      <c r="AH136" s="247">
        <v>274.95</v>
      </c>
      <c r="AI136" s="247">
        <v>341.54526315789474</v>
      </c>
      <c r="AJ136" s="226"/>
      <c r="AK136" s="247">
        <f t="shared" si="48"/>
        <v>358.69600000000003</v>
      </c>
      <c r="AL136" s="247">
        <f t="shared" si="49"/>
        <v>219.96</v>
      </c>
      <c r="AM136" s="247">
        <f t="shared" si="50"/>
        <v>273.2362105263158</v>
      </c>
      <c r="AN136" s="225"/>
      <c r="AO136" s="225">
        <v>0</v>
      </c>
      <c r="AP136" s="225">
        <v>0</v>
      </c>
      <c r="AQ136" s="225">
        <v>45803.549999999996</v>
      </c>
      <c r="AR136" s="225">
        <v>780</v>
      </c>
      <c r="AS136" s="225">
        <v>223.73684210526318</v>
      </c>
      <c r="AT136" s="225">
        <v>0</v>
      </c>
      <c r="AU136" s="225">
        <v>424.83999999999992</v>
      </c>
      <c r="AV136" s="225">
        <f t="shared" si="51"/>
        <v>47232.126842105252</v>
      </c>
      <c r="AX136" s="225">
        <f t="shared" si="52"/>
        <v>0</v>
      </c>
      <c r="AY136" s="225">
        <f t="shared" si="53"/>
        <v>0</v>
      </c>
      <c r="AZ136" s="225">
        <f t="shared" si="54"/>
        <v>2553.2259999999951</v>
      </c>
      <c r="BA136" s="225">
        <f t="shared" si="55"/>
        <v>-390</v>
      </c>
      <c r="BB136" s="225">
        <f t="shared" si="56"/>
        <v>-223.73684210526318</v>
      </c>
      <c r="BC136" s="225">
        <f t="shared" si="57"/>
        <v>0</v>
      </c>
      <c r="BD136" s="225">
        <f t="shared" si="58"/>
        <v>-23.530000000000086</v>
      </c>
      <c r="BE136" s="225">
        <f t="shared" si="59"/>
        <v>1915.959157894732</v>
      </c>
      <c r="BF136" s="225">
        <f t="shared" si="60"/>
        <v>0</v>
      </c>
      <c r="BG136" s="225">
        <f t="shared" ref="BG136:BG199" si="64">AO136-(F136*80%)</f>
        <v>0</v>
      </c>
      <c r="BH136" s="225">
        <f t="shared" ref="BH136:BH199" si="65">AP136-(G136*80%)</f>
        <v>0</v>
      </c>
      <c r="BI136" s="225">
        <f t="shared" ref="BI136:BI199" si="66">AQ136-(H136*80%)</f>
        <v>11203.290799999995</v>
      </c>
      <c r="BJ136" s="225">
        <f t="shared" ref="BJ136:BJ199" si="67">AR136-(I136*80%)</f>
        <v>-156</v>
      </c>
      <c r="BK136" s="225">
        <f t="shared" ref="BK136:BK199" si="68">AS136-(J136*80%)</f>
        <v>-134.24210526315795</v>
      </c>
      <c r="BL136" s="225">
        <f t="shared" ref="BL136:BL199" si="69">AT136-(K136*80%)</f>
        <v>0</v>
      </c>
      <c r="BM136" s="225">
        <f t="shared" ref="BM136:BM199" si="70">AU136-(AG136*80%)</f>
        <v>66.143999999999892</v>
      </c>
      <c r="BN136" s="225">
        <f t="shared" si="61"/>
        <v>10979.192694736837</v>
      </c>
      <c r="BO136" s="225">
        <f t="shared" ref="BO136:BO199" si="71">(M136+AK136+BN136)-AV136</f>
        <v>0</v>
      </c>
      <c r="BP136" s="225"/>
      <c r="BQ136" s="225"/>
      <c r="BR136" s="225"/>
      <c r="BS136" s="225"/>
      <c r="BT136" s="225"/>
      <c r="BU136" s="225"/>
      <c r="BV136" s="225"/>
      <c r="BW136" s="225"/>
      <c r="BY136" s="176"/>
      <c r="BZ136" s="176"/>
      <c r="CA136" s="176"/>
      <c r="CB136" s="176"/>
      <c r="CC136" s="176"/>
      <c r="CD136" s="176"/>
      <c r="CE136" s="176"/>
      <c r="CF136" s="176"/>
      <c r="CH136" s="248"/>
      <c r="CI136" s="248"/>
      <c r="CJ136" s="248"/>
      <c r="CK136" s="248"/>
      <c r="CL136" s="248"/>
      <c r="CM136" s="248"/>
      <c r="CN136" s="248"/>
      <c r="CO136" s="248"/>
      <c r="CQ136" s="248"/>
      <c r="CR136" s="248"/>
      <c r="CS136" s="248"/>
      <c r="CT136" s="248"/>
      <c r="CU136" s="248"/>
      <c r="CV136" s="248"/>
      <c r="CW136" s="248"/>
      <c r="CX136" s="248"/>
      <c r="CY136" s="248"/>
      <c r="DA136" s="248"/>
      <c r="DB136" s="248"/>
      <c r="DC136" s="248"/>
      <c r="DD136" s="248"/>
      <c r="DE136" s="248"/>
      <c r="DF136" s="248"/>
      <c r="DG136" s="248"/>
      <c r="DH136" s="248"/>
      <c r="DJ136" s="179" t="e">
        <f>#REF!+((SUMIFS($F136:$AM136,$F$3:$AM$3,$DJ$7)*80%))+SUMIFS(#REF!,#REF!,$DJ$7)</f>
        <v>#REF!</v>
      </c>
      <c r="DK136" s="179">
        <f t="shared" ref="DK136:DK167" si="72">(SUMIFS($F136:$AM136,$F$3:$AM$3,$DK$7)*80%)</f>
        <v>0</v>
      </c>
      <c r="DL136" s="173" t="e">
        <f t="shared" si="62"/>
        <v>#REF!</v>
      </c>
    </row>
    <row r="137" spans="1:116">
      <c r="A137" s="168">
        <v>2038</v>
      </c>
      <c r="B137" s="2">
        <v>138799</v>
      </c>
      <c r="C137" s="2" t="s">
        <v>338</v>
      </c>
      <c r="D137" s="30"/>
      <c r="E137" s="226"/>
      <c r="F137" s="176">
        <v>0</v>
      </c>
      <c r="G137" s="176">
        <v>0</v>
      </c>
      <c r="H137" s="176">
        <v>2207.4</v>
      </c>
      <c r="I137" s="176">
        <v>195</v>
      </c>
      <c r="J137" s="176">
        <v>0</v>
      </c>
      <c r="K137" s="176">
        <v>0</v>
      </c>
      <c r="L137" s="30">
        <f t="shared" ref="L137:L200" si="73">SUM(F137:K137)</f>
        <v>2402.4</v>
      </c>
      <c r="M137" s="176">
        <f t="shared" ref="M137:M200" si="74">L137*80%</f>
        <v>1921.92</v>
      </c>
      <c r="N137" s="226"/>
      <c r="O137" s="176">
        <v>0</v>
      </c>
      <c r="P137" s="176">
        <v>0</v>
      </c>
      <c r="Q137" s="176">
        <v>20970.3</v>
      </c>
      <c r="R137" s="176">
        <v>0</v>
      </c>
      <c r="S137" s="176">
        <v>0</v>
      </c>
      <c r="T137" s="176">
        <v>0</v>
      </c>
      <c r="U137" s="176">
        <f t="shared" ref="U137:U200" si="75">SUM(O137:T137)</f>
        <v>20970.3</v>
      </c>
      <c r="V137" s="176">
        <f t="shared" ref="V137:V200" si="76">U137*80%</f>
        <v>16776.240000000002</v>
      </c>
      <c r="W137" s="226"/>
      <c r="X137" s="247"/>
      <c r="Y137" s="176">
        <v>0</v>
      </c>
      <c r="Z137" s="176">
        <v>7399.7052631578954</v>
      </c>
      <c r="AA137" s="176">
        <v>113.68421052631578</v>
      </c>
      <c r="AB137" s="176">
        <v>21.739612188365648</v>
      </c>
      <c r="AC137" s="176">
        <v>0</v>
      </c>
      <c r="AD137" s="176">
        <f t="shared" ref="AD137:AD200" si="77">SUM(X137:AC137)</f>
        <v>7535.129085872577</v>
      </c>
      <c r="AE137" s="247">
        <f t="shared" ref="AE137:AE200" si="78">AD137*80%</f>
        <v>6028.1032686980616</v>
      </c>
      <c r="AF137" s="226"/>
      <c r="AG137" s="247">
        <v>175.5</v>
      </c>
      <c r="AH137" s="247">
        <v>781.95</v>
      </c>
      <c r="AI137" s="247">
        <v>318.31578947368416</v>
      </c>
      <c r="AJ137" s="226"/>
      <c r="AK137" s="247">
        <f t="shared" ref="AK137:AK200" si="79">AG137*80%</f>
        <v>140.4</v>
      </c>
      <c r="AL137" s="247">
        <f t="shared" ref="AL137:AL200" si="80">AH137*80%</f>
        <v>625.56000000000006</v>
      </c>
      <c r="AM137" s="247">
        <f t="shared" ref="AM137:AM200" si="81">AI137*80%</f>
        <v>254.65263157894734</v>
      </c>
      <c r="AN137" s="225"/>
      <c r="AO137" s="225">
        <v>0</v>
      </c>
      <c r="AP137" s="225">
        <v>0</v>
      </c>
      <c r="AQ137" s="225">
        <v>0</v>
      </c>
      <c r="AR137" s="225">
        <v>0</v>
      </c>
      <c r="AS137" s="225">
        <v>0</v>
      </c>
      <c r="AT137" s="225">
        <v>0</v>
      </c>
      <c r="AU137" s="225">
        <v>0</v>
      </c>
      <c r="AV137" s="225">
        <f t="shared" ref="AV137:AV200" si="82">SUM(AO137:AU137)</f>
        <v>0</v>
      </c>
      <c r="AX137" s="225">
        <f t="shared" ref="AX137:AX200" si="83">AO137-F137</f>
        <v>0</v>
      </c>
      <c r="AY137" s="225">
        <f t="shared" ref="AY137:AY200" si="84">AP137-G137</f>
        <v>0</v>
      </c>
      <c r="AZ137" s="225">
        <f t="shared" ref="AZ137:AZ200" si="85">AQ137-H137</f>
        <v>-2207.4</v>
      </c>
      <c r="BA137" s="225">
        <f t="shared" ref="BA137:BA200" si="86">AR137-I137</f>
        <v>-195</v>
      </c>
      <c r="BB137" s="225">
        <f t="shared" ref="BB137:BB200" si="87">AS137-J137</f>
        <v>0</v>
      </c>
      <c r="BC137" s="225">
        <f t="shared" ref="BC137:BC200" si="88">AT137-K137</f>
        <v>0</v>
      </c>
      <c r="BD137" s="225">
        <f t="shared" ref="BD137:BD200" si="89">AU137-AG137</f>
        <v>-175.5</v>
      </c>
      <c r="BE137" s="225">
        <f t="shared" ref="BE137:BE200" si="90">SUM(AX137:BD137)</f>
        <v>-2577.9</v>
      </c>
      <c r="BF137" s="225">
        <f t="shared" ref="BF137:BF200" si="91">(L137+AG137+BE137)-AV137</f>
        <v>0</v>
      </c>
      <c r="BG137" s="225">
        <f t="shared" si="64"/>
        <v>0</v>
      </c>
      <c r="BH137" s="225">
        <f t="shared" si="65"/>
        <v>0</v>
      </c>
      <c r="BI137" s="225">
        <f t="shared" si="66"/>
        <v>-1765.92</v>
      </c>
      <c r="BJ137" s="225">
        <f t="shared" si="67"/>
        <v>-156</v>
      </c>
      <c r="BK137" s="225">
        <f t="shared" si="68"/>
        <v>0</v>
      </c>
      <c r="BL137" s="225">
        <f t="shared" si="69"/>
        <v>0</v>
      </c>
      <c r="BM137" s="225">
        <f t="shared" si="70"/>
        <v>-140.4</v>
      </c>
      <c r="BN137" s="225">
        <f t="shared" ref="BN137:BN200" si="92">SUM(BG137:BM137)</f>
        <v>-2062.3200000000002</v>
      </c>
      <c r="BO137" s="225">
        <f t="shared" si="71"/>
        <v>0</v>
      </c>
      <c r="BP137" s="225"/>
      <c r="BQ137" s="225"/>
      <c r="BR137" s="225"/>
      <c r="BS137" s="225"/>
      <c r="BT137" s="225"/>
      <c r="BU137" s="225"/>
      <c r="BV137" s="225"/>
      <c r="BW137" s="225"/>
      <c r="BY137" s="176"/>
      <c r="BZ137" s="176"/>
      <c r="CA137" s="176"/>
      <c r="CB137" s="176"/>
      <c r="CC137" s="176"/>
      <c r="CD137" s="176"/>
      <c r="CE137" s="176"/>
      <c r="CF137" s="176"/>
      <c r="CH137" s="248"/>
      <c r="CI137" s="248"/>
      <c r="CJ137" s="248"/>
      <c r="CK137" s="248"/>
      <c r="CL137" s="248"/>
      <c r="CM137" s="248"/>
      <c r="CN137" s="248"/>
      <c r="CO137" s="248"/>
      <c r="CQ137" s="248"/>
      <c r="CR137" s="248"/>
      <c r="CS137" s="248"/>
      <c r="CT137" s="248"/>
      <c r="CU137" s="248"/>
      <c r="CV137" s="248"/>
      <c r="CW137" s="248"/>
      <c r="CX137" s="248"/>
      <c r="CY137" s="248"/>
      <c r="DA137" s="248"/>
      <c r="DB137" s="248"/>
      <c r="DC137" s="248"/>
      <c r="DD137" s="248"/>
      <c r="DE137" s="248"/>
      <c r="DF137" s="248"/>
      <c r="DG137" s="248"/>
      <c r="DH137" s="248"/>
      <c r="DJ137" s="179" t="e">
        <f>#REF!+((SUMIFS($F137:$AM137,$F$3:$AM$3,$DJ$7)*80%))+SUMIFS(#REF!,#REF!,$DJ$7)</f>
        <v>#REF!</v>
      </c>
      <c r="DK137" s="179">
        <f t="shared" si="72"/>
        <v>0</v>
      </c>
      <c r="DL137" s="173" t="e">
        <f t="shared" ref="DL137:DL200" si="93">DJ137+DK137</f>
        <v>#REF!</v>
      </c>
    </row>
    <row r="138" spans="1:116">
      <c r="A138" s="168">
        <v>5411</v>
      </c>
      <c r="B138" s="2">
        <v>136406</v>
      </c>
      <c r="C138" s="2" t="s">
        <v>339</v>
      </c>
      <c r="D138" s="30"/>
      <c r="E138" s="226"/>
      <c r="F138" s="176">
        <v>0</v>
      </c>
      <c r="G138" s="176">
        <v>0</v>
      </c>
      <c r="H138" s="176">
        <v>0</v>
      </c>
      <c r="I138" s="176">
        <v>0</v>
      </c>
      <c r="J138" s="176">
        <v>0</v>
      </c>
      <c r="K138" s="176">
        <v>0</v>
      </c>
      <c r="L138" s="30">
        <f t="shared" si="73"/>
        <v>0</v>
      </c>
      <c r="M138" s="176">
        <f t="shared" si="74"/>
        <v>0</v>
      </c>
      <c r="N138" s="226"/>
      <c r="O138" s="176">
        <v>0</v>
      </c>
      <c r="P138" s="176">
        <v>0</v>
      </c>
      <c r="Q138" s="176">
        <v>0</v>
      </c>
      <c r="R138" s="176">
        <v>0</v>
      </c>
      <c r="S138" s="176">
        <v>0</v>
      </c>
      <c r="T138" s="176">
        <v>0</v>
      </c>
      <c r="U138" s="176">
        <f t="shared" si="75"/>
        <v>0</v>
      </c>
      <c r="V138" s="176">
        <f t="shared" si="76"/>
        <v>0</v>
      </c>
      <c r="W138" s="226"/>
      <c r="X138" s="247"/>
      <c r="Y138" s="176">
        <v>0</v>
      </c>
      <c r="Z138" s="176">
        <v>0</v>
      </c>
      <c r="AA138" s="176">
        <v>0</v>
      </c>
      <c r="AB138" s="176">
        <v>0</v>
      </c>
      <c r="AC138" s="176">
        <v>0</v>
      </c>
      <c r="AD138" s="176">
        <f t="shared" si="77"/>
        <v>0</v>
      </c>
      <c r="AE138" s="247">
        <f t="shared" si="78"/>
        <v>0</v>
      </c>
      <c r="AF138" s="226"/>
      <c r="AG138" s="247">
        <v>0</v>
      </c>
      <c r="AH138" s="247">
        <v>0</v>
      </c>
      <c r="AI138" s="247">
        <v>0</v>
      </c>
      <c r="AJ138" s="226"/>
      <c r="AK138" s="247">
        <f t="shared" si="79"/>
        <v>0</v>
      </c>
      <c r="AL138" s="247">
        <f t="shared" si="80"/>
        <v>0</v>
      </c>
      <c r="AM138" s="247">
        <f t="shared" si="81"/>
        <v>0</v>
      </c>
      <c r="AN138" s="225"/>
      <c r="AO138" s="225">
        <v>0</v>
      </c>
      <c r="AP138" s="225">
        <v>0</v>
      </c>
      <c r="AQ138" s="225">
        <v>0</v>
      </c>
      <c r="AR138" s="225">
        <v>0</v>
      </c>
      <c r="AS138" s="225">
        <v>0</v>
      </c>
      <c r="AT138" s="225">
        <v>0</v>
      </c>
      <c r="AU138" s="225">
        <v>0</v>
      </c>
      <c r="AV138" s="225">
        <f t="shared" si="82"/>
        <v>0</v>
      </c>
      <c r="AX138" s="225">
        <f t="shared" si="83"/>
        <v>0</v>
      </c>
      <c r="AY138" s="225">
        <f t="shared" si="84"/>
        <v>0</v>
      </c>
      <c r="AZ138" s="225">
        <f t="shared" si="85"/>
        <v>0</v>
      </c>
      <c r="BA138" s="225">
        <f t="shared" si="86"/>
        <v>0</v>
      </c>
      <c r="BB138" s="225">
        <f t="shared" si="87"/>
        <v>0</v>
      </c>
      <c r="BC138" s="225">
        <f t="shared" si="88"/>
        <v>0</v>
      </c>
      <c r="BD138" s="225">
        <f t="shared" si="89"/>
        <v>0</v>
      </c>
      <c r="BE138" s="225">
        <f t="shared" si="90"/>
        <v>0</v>
      </c>
      <c r="BF138" s="225">
        <f t="shared" si="91"/>
        <v>0</v>
      </c>
      <c r="BG138" s="225">
        <f t="shared" si="64"/>
        <v>0</v>
      </c>
      <c r="BH138" s="225">
        <f t="shared" si="65"/>
        <v>0</v>
      </c>
      <c r="BI138" s="225">
        <f t="shared" si="66"/>
        <v>0</v>
      </c>
      <c r="BJ138" s="225">
        <f t="shared" si="67"/>
        <v>0</v>
      </c>
      <c r="BK138" s="225">
        <f t="shared" si="68"/>
        <v>0</v>
      </c>
      <c r="BL138" s="225">
        <f t="shared" si="69"/>
        <v>0</v>
      </c>
      <c r="BM138" s="225">
        <f t="shared" si="70"/>
        <v>0</v>
      </c>
      <c r="BN138" s="225">
        <f t="shared" si="92"/>
        <v>0</v>
      </c>
      <c r="BO138" s="225">
        <f t="shared" si="71"/>
        <v>0</v>
      </c>
      <c r="BP138" s="225"/>
      <c r="BQ138" s="225"/>
      <c r="BR138" s="225"/>
      <c r="BS138" s="225"/>
      <c r="BT138" s="225"/>
      <c r="BU138" s="225"/>
      <c r="BV138" s="225"/>
      <c r="BW138" s="225"/>
      <c r="BY138" s="176"/>
      <c r="BZ138" s="176"/>
      <c r="CA138" s="176"/>
      <c r="CB138" s="176"/>
      <c r="CC138" s="176"/>
      <c r="CD138" s="176"/>
      <c r="CE138" s="176"/>
      <c r="CF138" s="176"/>
      <c r="CH138" s="248"/>
      <c r="CI138" s="248"/>
      <c r="CJ138" s="248"/>
      <c r="CK138" s="248"/>
      <c r="CL138" s="248"/>
      <c r="CM138" s="248"/>
      <c r="CN138" s="248"/>
      <c r="CO138" s="248"/>
      <c r="CQ138" s="248"/>
      <c r="CR138" s="248"/>
      <c r="CS138" s="248"/>
      <c r="CT138" s="248"/>
      <c r="CU138" s="248"/>
      <c r="CV138" s="248"/>
      <c r="CW138" s="248"/>
      <c r="CX138" s="248"/>
      <c r="CY138" s="248"/>
      <c r="DA138" s="248"/>
      <c r="DB138" s="248"/>
      <c r="DC138" s="248"/>
      <c r="DD138" s="248"/>
      <c r="DE138" s="248"/>
      <c r="DF138" s="248"/>
      <c r="DG138" s="248"/>
      <c r="DH138" s="248"/>
      <c r="DJ138" s="179" t="e">
        <f>#REF!+((SUMIFS($F138:$AM138,$F$3:$AM$3,$DJ$7)*80%))+SUMIFS(#REF!,#REF!,$DJ$7)</f>
        <v>#REF!</v>
      </c>
      <c r="DK138" s="179">
        <f t="shared" si="72"/>
        <v>0</v>
      </c>
      <c r="DL138" s="173" t="e">
        <f t="shared" si="93"/>
        <v>#REF!</v>
      </c>
    </row>
    <row r="139" spans="1:116">
      <c r="A139" s="168">
        <v>4004</v>
      </c>
      <c r="B139" s="2">
        <v>138586</v>
      </c>
      <c r="C139" s="2" t="s">
        <v>340</v>
      </c>
      <c r="D139" s="30"/>
      <c r="E139" s="226"/>
      <c r="F139" s="176">
        <v>0</v>
      </c>
      <c r="G139" s="176">
        <v>0</v>
      </c>
      <c r="H139" s="176">
        <v>0</v>
      </c>
      <c r="I139" s="176">
        <v>0</v>
      </c>
      <c r="J139" s="176">
        <v>0</v>
      </c>
      <c r="K139" s="176">
        <v>0</v>
      </c>
      <c r="L139" s="30">
        <f t="shared" si="73"/>
        <v>0</v>
      </c>
      <c r="M139" s="176">
        <f t="shared" si="74"/>
        <v>0</v>
      </c>
      <c r="N139" s="226"/>
      <c r="O139" s="176">
        <v>0</v>
      </c>
      <c r="P139" s="176">
        <v>0</v>
      </c>
      <c r="Q139" s="176">
        <v>0</v>
      </c>
      <c r="R139" s="176">
        <v>0</v>
      </c>
      <c r="S139" s="176">
        <v>0</v>
      </c>
      <c r="T139" s="176">
        <v>0</v>
      </c>
      <c r="U139" s="176">
        <f t="shared" si="75"/>
        <v>0</v>
      </c>
      <c r="V139" s="176">
        <f t="shared" si="76"/>
        <v>0</v>
      </c>
      <c r="W139" s="226"/>
      <c r="X139" s="247"/>
      <c r="Y139" s="176">
        <v>0</v>
      </c>
      <c r="Z139" s="176">
        <v>0</v>
      </c>
      <c r="AA139" s="176">
        <v>0</v>
      </c>
      <c r="AB139" s="176">
        <v>0</v>
      </c>
      <c r="AC139" s="176">
        <v>0</v>
      </c>
      <c r="AD139" s="176">
        <f t="shared" si="77"/>
        <v>0</v>
      </c>
      <c r="AE139" s="247">
        <f t="shared" si="78"/>
        <v>0</v>
      </c>
      <c r="AF139" s="226"/>
      <c r="AG139" s="247">
        <v>0</v>
      </c>
      <c r="AH139" s="247">
        <v>0</v>
      </c>
      <c r="AI139" s="247">
        <v>0</v>
      </c>
      <c r="AJ139" s="226"/>
      <c r="AK139" s="247">
        <f t="shared" si="79"/>
        <v>0</v>
      </c>
      <c r="AL139" s="247">
        <f t="shared" si="80"/>
        <v>0</v>
      </c>
      <c r="AM139" s="247">
        <f t="shared" si="81"/>
        <v>0</v>
      </c>
      <c r="AN139" s="225"/>
      <c r="AO139" s="225">
        <v>0</v>
      </c>
      <c r="AP139" s="225">
        <v>0</v>
      </c>
      <c r="AQ139" s="225">
        <v>0</v>
      </c>
      <c r="AR139" s="225">
        <v>0</v>
      </c>
      <c r="AS139" s="225">
        <v>0</v>
      </c>
      <c r="AT139" s="225">
        <v>0</v>
      </c>
      <c r="AU139" s="225">
        <v>0</v>
      </c>
      <c r="AV139" s="225">
        <f t="shared" si="82"/>
        <v>0</v>
      </c>
      <c r="AX139" s="225">
        <f t="shared" si="83"/>
        <v>0</v>
      </c>
      <c r="AY139" s="225">
        <f t="shared" si="84"/>
        <v>0</v>
      </c>
      <c r="AZ139" s="225">
        <f t="shared" si="85"/>
        <v>0</v>
      </c>
      <c r="BA139" s="225">
        <f t="shared" si="86"/>
        <v>0</v>
      </c>
      <c r="BB139" s="225">
        <f t="shared" si="87"/>
        <v>0</v>
      </c>
      <c r="BC139" s="225">
        <f t="shared" si="88"/>
        <v>0</v>
      </c>
      <c r="BD139" s="225">
        <f t="shared" si="89"/>
        <v>0</v>
      </c>
      <c r="BE139" s="225">
        <f t="shared" si="90"/>
        <v>0</v>
      </c>
      <c r="BF139" s="225">
        <f t="shared" si="91"/>
        <v>0</v>
      </c>
      <c r="BG139" s="225">
        <f t="shared" si="64"/>
        <v>0</v>
      </c>
      <c r="BH139" s="225">
        <f t="shared" si="65"/>
        <v>0</v>
      </c>
      <c r="BI139" s="225">
        <f t="shared" si="66"/>
        <v>0</v>
      </c>
      <c r="BJ139" s="225">
        <f t="shared" si="67"/>
        <v>0</v>
      </c>
      <c r="BK139" s="225">
        <f t="shared" si="68"/>
        <v>0</v>
      </c>
      <c r="BL139" s="225">
        <f t="shared" si="69"/>
        <v>0</v>
      </c>
      <c r="BM139" s="225">
        <f t="shared" si="70"/>
        <v>0</v>
      </c>
      <c r="BN139" s="225">
        <f t="shared" si="92"/>
        <v>0</v>
      </c>
      <c r="BO139" s="225">
        <f t="shared" si="71"/>
        <v>0</v>
      </c>
      <c r="BP139" s="225"/>
      <c r="BQ139" s="225"/>
      <c r="BR139" s="225"/>
      <c r="BS139" s="225"/>
      <c r="BT139" s="225"/>
      <c r="BU139" s="225"/>
      <c r="BV139" s="225"/>
      <c r="BW139" s="225"/>
      <c r="BY139" s="176"/>
      <c r="BZ139" s="176"/>
      <c r="CA139" s="176"/>
      <c r="CB139" s="176"/>
      <c r="CC139" s="176"/>
      <c r="CD139" s="176"/>
      <c r="CE139" s="176"/>
      <c r="CF139" s="176"/>
      <c r="CH139" s="248"/>
      <c r="CI139" s="248"/>
      <c r="CJ139" s="248"/>
      <c r="CK139" s="248"/>
      <c r="CL139" s="248"/>
      <c r="CM139" s="248"/>
      <c r="CN139" s="248"/>
      <c r="CO139" s="248"/>
      <c r="CQ139" s="248"/>
      <c r="CR139" s="248"/>
      <c r="CS139" s="248"/>
      <c r="CT139" s="248"/>
      <c r="CU139" s="248"/>
      <c r="CV139" s="248"/>
      <c r="CW139" s="248"/>
      <c r="CX139" s="248"/>
      <c r="CY139" s="248"/>
      <c r="DA139" s="248"/>
      <c r="DB139" s="248"/>
      <c r="DC139" s="248"/>
      <c r="DD139" s="248"/>
      <c r="DE139" s="248"/>
      <c r="DF139" s="248"/>
      <c r="DG139" s="248"/>
      <c r="DH139" s="248"/>
      <c r="DJ139" s="179" t="e">
        <f>#REF!+((SUMIFS($F139:$AM139,$F$3:$AM$3,$DJ$7)*80%))+SUMIFS(#REF!,#REF!,$DJ$7)</f>
        <v>#REF!</v>
      </c>
      <c r="DK139" s="179">
        <f t="shared" si="72"/>
        <v>0</v>
      </c>
      <c r="DL139" s="173" t="e">
        <f t="shared" si="93"/>
        <v>#REF!</v>
      </c>
    </row>
    <row r="140" spans="1:116">
      <c r="A140" s="168">
        <v>2032</v>
      </c>
      <c r="B140" s="2">
        <v>137492</v>
      </c>
      <c r="C140" s="2" t="s">
        <v>341</v>
      </c>
      <c r="D140" s="30"/>
      <c r="E140" s="226"/>
      <c r="F140" s="176">
        <v>0</v>
      </c>
      <c r="G140" s="176">
        <v>0</v>
      </c>
      <c r="H140" s="176">
        <v>0</v>
      </c>
      <c r="I140" s="176">
        <v>0</v>
      </c>
      <c r="J140" s="176">
        <v>0</v>
      </c>
      <c r="K140" s="176">
        <v>0</v>
      </c>
      <c r="L140" s="30">
        <f t="shared" si="73"/>
        <v>0</v>
      </c>
      <c r="M140" s="176">
        <f t="shared" si="74"/>
        <v>0</v>
      </c>
      <c r="N140" s="226"/>
      <c r="O140" s="176">
        <v>0</v>
      </c>
      <c r="P140" s="176">
        <v>0</v>
      </c>
      <c r="Q140" s="176">
        <v>0</v>
      </c>
      <c r="R140" s="176">
        <v>0</v>
      </c>
      <c r="S140" s="176">
        <v>0</v>
      </c>
      <c r="T140" s="176">
        <v>0</v>
      </c>
      <c r="U140" s="176">
        <f t="shared" si="75"/>
        <v>0</v>
      </c>
      <c r="V140" s="176">
        <f t="shared" si="76"/>
        <v>0</v>
      </c>
      <c r="W140" s="226"/>
      <c r="X140" s="247"/>
      <c r="Y140" s="176">
        <v>0</v>
      </c>
      <c r="Z140" s="176">
        <v>0</v>
      </c>
      <c r="AA140" s="176">
        <v>0</v>
      </c>
      <c r="AB140" s="176">
        <v>0</v>
      </c>
      <c r="AC140" s="176">
        <v>0</v>
      </c>
      <c r="AD140" s="176">
        <f t="shared" si="77"/>
        <v>0</v>
      </c>
      <c r="AE140" s="247">
        <f t="shared" si="78"/>
        <v>0</v>
      </c>
      <c r="AF140" s="226"/>
      <c r="AG140" s="247">
        <v>0</v>
      </c>
      <c r="AH140" s="247">
        <v>0</v>
      </c>
      <c r="AI140" s="247">
        <v>0</v>
      </c>
      <c r="AJ140" s="226"/>
      <c r="AK140" s="247">
        <f t="shared" si="79"/>
        <v>0</v>
      </c>
      <c r="AL140" s="247">
        <f t="shared" si="80"/>
        <v>0</v>
      </c>
      <c r="AM140" s="247">
        <f t="shared" si="81"/>
        <v>0</v>
      </c>
      <c r="AN140" s="225"/>
      <c r="AO140" s="225">
        <v>0</v>
      </c>
      <c r="AP140" s="225">
        <v>0</v>
      </c>
      <c r="AQ140" s="225">
        <v>0</v>
      </c>
      <c r="AR140" s="225">
        <v>0</v>
      </c>
      <c r="AS140" s="225">
        <v>0</v>
      </c>
      <c r="AT140" s="225">
        <v>0</v>
      </c>
      <c r="AU140" s="225">
        <v>0</v>
      </c>
      <c r="AV140" s="225">
        <f t="shared" si="82"/>
        <v>0</v>
      </c>
      <c r="AX140" s="225">
        <f t="shared" si="83"/>
        <v>0</v>
      </c>
      <c r="AY140" s="225">
        <f t="shared" si="84"/>
        <v>0</v>
      </c>
      <c r="AZ140" s="225">
        <f t="shared" si="85"/>
        <v>0</v>
      </c>
      <c r="BA140" s="225">
        <f t="shared" si="86"/>
        <v>0</v>
      </c>
      <c r="BB140" s="225">
        <f t="shared" si="87"/>
        <v>0</v>
      </c>
      <c r="BC140" s="225">
        <f t="shared" si="88"/>
        <v>0</v>
      </c>
      <c r="BD140" s="225">
        <f t="shared" si="89"/>
        <v>0</v>
      </c>
      <c r="BE140" s="225">
        <f t="shared" si="90"/>
        <v>0</v>
      </c>
      <c r="BF140" s="225">
        <f t="shared" si="91"/>
        <v>0</v>
      </c>
      <c r="BG140" s="225">
        <f t="shared" si="64"/>
        <v>0</v>
      </c>
      <c r="BH140" s="225">
        <f t="shared" si="65"/>
        <v>0</v>
      </c>
      <c r="BI140" s="225">
        <f t="shared" si="66"/>
        <v>0</v>
      </c>
      <c r="BJ140" s="225">
        <f t="shared" si="67"/>
        <v>0</v>
      </c>
      <c r="BK140" s="225">
        <f t="shared" si="68"/>
        <v>0</v>
      </c>
      <c r="BL140" s="225">
        <f t="shared" si="69"/>
        <v>0</v>
      </c>
      <c r="BM140" s="225">
        <f t="shared" si="70"/>
        <v>0</v>
      </c>
      <c r="BN140" s="225">
        <f t="shared" si="92"/>
        <v>0</v>
      </c>
      <c r="BO140" s="225">
        <f t="shared" si="71"/>
        <v>0</v>
      </c>
      <c r="BP140" s="225"/>
      <c r="BQ140" s="225"/>
      <c r="BR140" s="225"/>
      <c r="BS140" s="225"/>
      <c r="BT140" s="225"/>
      <c r="BU140" s="225"/>
      <c r="BV140" s="225"/>
      <c r="BW140" s="225"/>
      <c r="BY140" s="176"/>
      <c r="BZ140" s="176"/>
      <c r="CA140" s="176"/>
      <c r="CB140" s="176"/>
      <c r="CC140" s="176"/>
      <c r="CD140" s="176"/>
      <c r="CE140" s="176"/>
      <c r="CF140" s="176"/>
      <c r="CH140" s="248"/>
      <c r="CI140" s="248"/>
      <c r="CJ140" s="248"/>
      <c r="CK140" s="248"/>
      <c r="CL140" s="248"/>
      <c r="CM140" s="248"/>
      <c r="CN140" s="248"/>
      <c r="CO140" s="248"/>
      <c r="CQ140" s="248"/>
      <c r="CR140" s="248"/>
      <c r="CS140" s="248"/>
      <c r="CT140" s="248"/>
      <c r="CU140" s="248"/>
      <c r="CV140" s="248"/>
      <c r="CW140" s="248"/>
      <c r="CX140" s="248"/>
      <c r="CY140" s="248"/>
      <c r="DA140" s="248"/>
      <c r="DB140" s="248"/>
      <c r="DC140" s="248"/>
      <c r="DD140" s="248"/>
      <c r="DE140" s="248"/>
      <c r="DF140" s="248"/>
      <c r="DG140" s="248"/>
      <c r="DH140" s="248"/>
      <c r="DJ140" s="179" t="e">
        <f>#REF!+((SUMIFS($F140:$AM140,$F$3:$AM$3,$DJ$7)*80%))+SUMIFS(#REF!,#REF!,$DJ$7)</f>
        <v>#REF!</v>
      </c>
      <c r="DK140" s="179">
        <f t="shared" si="72"/>
        <v>0</v>
      </c>
      <c r="DL140" s="173" t="e">
        <f t="shared" si="93"/>
        <v>#REF!</v>
      </c>
    </row>
    <row r="141" spans="1:116">
      <c r="A141" s="168">
        <v>2315</v>
      </c>
      <c r="B141" s="2">
        <v>142358</v>
      </c>
      <c r="C141" s="2" t="s">
        <v>342</v>
      </c>
      <c r="D141" s="30"/>
      <c r="E141" s="226"/>
      <c r="F141" s="176">
        <v>0</v>
      </c>
      <c r="G141" s="176">
        <v>0</v>
      </c>
      <c r="H141" s="176">
        <v>0</v>
      </c>
      <c r="I141" s="176">
        <v>0</v>
      </c>
      <c r="J141" s="176">
        <v>0</v>
      </c>
      <c r="K141" s="176">
        <v>0</v>
      </c>
      <c r="L141" s="30">
        <f t="shared" si="73"/>
        <v>0</v>
      </c>
      <c r="M141" s="176">
        <f t="shared" si="74"/>
        <v>0</v>
      </c>
      <c r="N141" s="226"/>
      <c r="O141" s="176">
        <v>0</v>
      </c>
      <c r="P141" s="176">
        <v>0</v>
      </c>
      <c r="Q141" s="176">
        <v>0</v>
      </c>
      <c r="R141" s="176">
        <v>0</v>
      </c>
      <c r="S141" s="176">
        <v>0</v>
      </c>
      <c r="T141" s="176">
        <v>0</v>
      </c>
      <c r="U141" s="176">
        <f t="shared" si="75"/>
        <v>0</v>
      </c>
      <c r="V141" s="176">
        <f t="shared" si="76"/>
        <v>0</v>
      </c>
      <c r="W141" s="226"/>
      <c r="X141" s="247"/>
      <c r="Y141" s="176">
        <v>0</v>
      </c>
      <c r="Z141" s="176">
        <v>0</v>
      </c>
      <c r="AA141" s="176">
        <v>0</v>
      </c>
      <c r="AB141" s="176">
        <v>0</v>
      </c>
      <c r="AC141" s="176">
        <v>0</v>
      </c>
      <c r="AD141" s="176">
        <f t="shared" si="77"/>
        <v>0</v>
      </c>
      <c r="AE141" s="247">
        <f t="shared" si="78"/>
        <v>0</v>
      </c>
      <c r="AF141" s="226"/>
      <c r="AG141" s="247">
        <v>0</v>
      </c>
      <c r="AH141" s="247">
        <v>0</v>
      </c>
      <c r="AI141" s="247">
        <v>0</v>
      </c>
      <c r="AJ141" s="226"/>
      <c r="AK141" s="247">
        <f t="shared" si="79"/>
        <v>0</v>
      </c>
      <c r="AL141" s="247">
        <f t="shared" si="80"/>
        <v>0</v>
      </c>
      <c r="AM141" s="247">
        <f t="shared" si="81"/>
        <v>0</v>
      </c>
      <c r="AN141" s="225"/>
      <c r="AO141" s="225">
        <v>0</v>
      </c>
      <c r="AP141" s="225">
        <v>0</v>
      </c>
      <c r="AQ141" s="225">
        <v>0</v>
      </c>
      <c r="AR141" s="225">
        <v>0</v>
      </c>
      <c r="AS141" s="225">
        <v>0</v>
      </c>
      <c r="AT141" s="225">
        <v>0</v>
      </c>
      <c r="AU141" s="225">
        <v>0</v>
      </c>
      <c r="AV141" s="225">
        <f t="shared" si="82"/>
        <v>0</v>
      </c>
      <c r="AX141" s="225">
        <f t="shared" si="83"/>
        <v>0</v>
      </c>
      <c r="AY141" s="225">
        <f t="shared" si="84"/>
        <v>0</v>
      </c>
      <c r="AZ141" s="225">
        <f t="shared" si="85"/>
        <v>0</v>
      </c>
      <c r="BA141" s="225">
        <f t="shared" si="86"/>
        <v>0</v>
      </c>
      <c r="BB141" s="225">
        <f t="shared" si="87"/>
        <v>0</v>
      </c>
      <c r="BC141" s="225">
        <f t="shared" si="88"/>
        <v>0</v>
      </c>
      <c r="BD141" s="225">
        <f t="shared" si="89"/>
        <v>0</v>
      </c>
      <c r="BE141" s="225">
        <f t="shared" si="90"/>
        <v>0</v>
      </c>
      <c r="BF141" s="225">
        <f t="shared" si="91"/>
        <v>0</v>
      </c>
      <c r="BG141" s="225">
        <f t="shared" si="64"/>
        <v>0</v>
      </c>
      <c r="BH141" s="225">
        <f t="shared" si="65"/>
        <v>0</v>
      </c>
      <c r="BI141" s="225">
        <f t="shared" si="66"/>
        <v>0</v>
      </c>
      <c r="BJ141" s="225">
        <f t="shared" si="67"/>
        <v>0</v>
      </c>
      <c r="BK141" s="225">
        <f t="shared" si="68"/>
        <v>0</v>
      </c>
      <c r="BL141" s="225">
        <f t="shared" si="69"/>
        <v>0</v>
      </c>
      <c r="BM141" s="225">
        <f t="shared" si="70"/>
        <v>0</v>
      </c>
      <c r="BN141" s="225">
        <f t="shared" si="92"/>
        <v>0</v>
      </c>
      <c r="BO141" s="225">
        <f t="shared" si="71"/>
        <v>0</v>
      </c>
      <c r="BP141" s="225"/>
      <c r="BQ141" s="225"/>
      <c r="BR141" s="225"/>
      <c r="BS141" s="225"/>
      <c r="BT141" s="225"/>
      <c r="BU141" s="225"/>
      <c r="BV141" s="225"/>
      <c r="BW141" s="225"/>
      <c r="BY141" s="176"/>
      <c r="BZ141" s="176"/>
      <c r="CA141" s="176"/>
      <c r="CB141" s="176"/>
      <c r="CC141" s="176"/>
      <c r="CD141" s="176"/>
      <c r="CE141" s="176"/>
      <c r="CF141" s="176"/>
      <c r="CH141" s="248"/>
      <c r="CI141" s="248"/>
      <c r="CJ141" s="248"/>
      <c r="CK141" s="248"/>
      <c r="CL141" s="248"/>
      <c r="CM141" s="248"/>
      <c r="CN141" s="248"/>
      <c r="CO141" s="248"/>
      <c r="CQ141" s="248"/>
      <c r="CR141" s="248"/>
      <c r="CS141" s="248"/>
      <c r="CT141" s="248"/>
      <c r="CU141" s="248"/>
      <c r="CV141" s="248"/>
      <c r="CW141" s="248"/>
      <c r="CX141" s="248"/>
      <c r="CY141" s="248"/>
      <c r="DA141" s="248"/>
      <c r="DB141" s="248"/>
      <c r="DC141" s="248"/>
      <c r="DD141" s="248"/>
      <c r="DE141" s="248"/>
      <c r="DF141" s="248"/>
      <c r="DG141" s="248"/>
      <c r="DH141" s="248"/>
      <c r="DJ141" s="179" t="e">
        <f>#REF!+((SUMIFS($F141:$AM141,$F$3:$AM$3,$DJ$7)*80%))+SUMIFS(#REF!,#REF!,$DJ$7)</f>
        <v>#REF!</v>
      </c>
      <c r="DK141" s="179">
        <f t="shared" si="72"/>
        <v>0</v>
      </c>
      <c r="DL141" s="173" t="e">
        <f t="shared" si="93"/>
        <v>#REF!</v>
      </c>
    </row>
    <row r="142" spans="1:116">
      <c r="A142" s="168">
        <v>2263</v>
      </c>
      <c r="B142" s="2">
        <v>142203</v>
      </c>
      <c r="C142" s="2" t="s">
        <v>343</v>
      </c>
      <c r="D142" s="30"/>
      <c r="E142" s="226"/>
      <c r="F142" s="176">
        <v>0</v>
      </c>
      <c r="G142" s="176">
        <v>0</v>
      </c>
      <c r="H142" s="176">
        <v>0</v>
      </c>
      <c r="I142" s="176">
        <v>0</v>
      </c>
      <c r="J142" s="176">
        <v>0</v>
      </c>
      <c r="K142" s="176">
        <v>0</v>
      </c>
      <c r="L142" s="30">
        <f t="shared" si="73"/>
        <v>0</v>
      </c>
      <c r="M142" s="176">
        <f t="shared" si="74"/>
        <v>0</v>
      </c>
      <c r="N142" s="226"/>
      <c r="O142" s="176">
        <v>0</v>
      </c>
      <c r="P142" s="176">
        <v>0</v>
      </c>
      <c r="Q142" s="176">
        <v>0</v>
      </c>
      <c r="R142" s="176">
        <v>0</v>
      </c>
      <c r="S142" s="176">
        <v>0</v>
      </c>
      <c r="T142" s="176">
        <v>0</v>
      </c>
      <c r="U142" s="176">
        <f t="shared" si="75"/>
        <v>0</v>
      </c>
      <c r="V142" s="176">
        <f t="shared" si="76"/>
        <v>0</v>
      </c>
      <c r="W142" s="226"/>
      <c r="X142" s="247"/>
      <c r="Y142" s="176">
        <v>0</v>
      </c>
      <c r="Z142" s="176">
        <v>0</v>
      </c>
      <c r="AA142" s="176">
        <v>0</v>
      </c>
      <c r="AB142" s="176">
        <v>0</v>
      </c>
      <c r="AC142" s="176">
        <v>0</v>
      </c>
      <c r="AD142" s="176">
        <f t="shared" si="77"/>
        <v>0</v>
      </c>
      <c r="AE142" s="247">
        <f t="shared" si="78"/>
        <v>0</v>
      </c>
      <c r="AF142" s="226"/>
      <c r="AG142" s="247">
        <v>0</v>
      </c>
      <c r="AH142" s="247">
        <v>0</v>
      </c>
      <c r="AI142" s="247">
        <v>0</v>
      </c>
      <c r="AJ142" s="226"/>
      <c r="AK142" s="247">
        <f t="shared" si="79"/>
        <v>0</v>
      </c>
      <c r="AL142" s="247">
        <f t="shared" si="80"/>
        <v>0</v>
      </c>
      <c r="AM142" s="247">
        <f t="shared" si="81"/>
        <v>0</v>
      </c>
      <c r="AN142" s="225"/>
      <c r="AO142" s="225">
        <v>0</v>
      </c>
      <c r="AP142" s="225">
        <v>0</v>
      </c>
      <c r="AQ142" s="225">
        <v>0</v>
      </c>
      <c r="AR142" s="225">
        <v>0</v>
      </c>
      <c r="AS142" s="225">
        <v>0</v>
      </c>
      <c r="AT142" s="225">
        <v>0</v>
      </c>
      <c r="AU142" s="225">
        <v>0</v>
      </c>
      <c r="AV142" s="225">
        <f t="shared" si="82"/>
        <v>0</v>
      </c>
      <c r="AX142" s="225">
        <f t="shared" si="83"/>
        <v>0</v>
      </c>
      <c r="AY142" s="225">
        <f t="shared" si="84"/>
        <v>0</v>
      </c>
      <c r="AZ142" s="225">
        <f t="shared" si="85"/>
        <v>0</v>
      </c>
      <c r="BA142" s="225">
        <f t="shared" si="86"/>
        <v>0</v>
      </c>
      <c r="BB142" s="225">
        <f t="shared" si="87"/>
        <v>0</v>
      </c>
      <c r="BC142" s="225">
        <f t="shared" si="88"/>
        <v>0</v>
      </c>
      <c r="BD142" s="225">
        <f t="shared" si="89"/>
        <v>0</v>
      </c>
      <c r="BE142" s="225">
        <f t="shared" si="90"/>
        <v>0</v>
      </c>
      <c r="BF142" s="225">
        <f t="shared" si="91"/>
        <v>0</v>
      </c>
      <c r="BG142" s="225">
        <f t="shared" si="64"/>
        <v>0</v>
      </c>
      <c r="BH142" s="225">
        <f t="shared" si="65"/>
        <v>0</v>
      </c>
      <c r="BI142" s="225">
        <f t="shared" si="66"/>
        <v>0</v>
      </c>
      <c r="BJ142" s="225">
        <f t="shared" si="67"/>
        <v>0</v>
      </c>
      <c r="BK142" s="225">
        <f t="shared" si="68"/>
        <v>0</v>
      </c>
      <c r="BL142" s="225">
        <f t="shared" si="69"/>
        <v>0</v>
      </c>
      <c r="BM142" s="225">
        <f t="shared" si="70"/>
        <v>0</v>
      </c>
      <c r="BN142" s="225">
        <f t="shared" si="92"/>
        <v>0</v>
      </c>
      <c r="BO142" s="225">
        <f t="shared" si="71"/>
        <v>0</v>
      </c>
      <c r="BP142" s="225"/>
      <c r="BQ142" s="225"/>
      <c r="BR142" s="225"/>
      <c r="BS142" s="225"/>
      <c r="BT142" s="225"/>
      <c r="BU142" s="225"/>
      <c r="BV142" s="225"/>
      <c r="BW142" s="225"/>
      <c r="BY142" s="176"/>
      <c r="BZ142" s="176"/>
      <c r="CA142" s="176"/>
      <c r="CB142" s="176"/>
      <c r="CC142" s="176"/>
      <c r="CD142" s="176"/>
      <c r="CE142" s="176"/>
      <c r="CF142" s="176"/>
      <c r="CH142" s="248"/>
      <c r="CI142" s="248"/>
      <c r="CJ142" s="248"/>
      <c r="CK142" s="248"/>
      <c r="CL142" s="248"/>
      <c r="CM142" s="248"/>
      <c r="CN142" s="248"/>
      <c r="CO142" s="248"/>
      <c r="CQ142" s="248"/>
      <c r="CR142" s="248"/>
      <c r="CS142" s="248"/>
      <c r="CT142" s="248"/>
      <c r="CU142" s="248"/>
      <c r="CV142" s="248"/>
      <c r="CW142" s="248"/>
      <c r="CX142" s="248"/>
      <c r="CY142" s="248"/>
      <c r="DA142" s="248"/>
      <c r="DB142" s="248"/>
      <c r="DC142" s="248"/>
      <c r="DD142" s="248"/>
      <c r="DE142" s="248"/>
      <c r="DF142" s="248"/>
      <c r="DG142" s="248"/>
      <c r="DH142" s="248"/>
      <c r="DJ142" s="179" t="e">
        <f>#REF!+((SUMIFS($F142:$AM142,$F$3:$AM$3,$DJ$7)*80%))+SUMIFS(#REF!,#REF!,$DJ$7)</f>
        <v>#REF!</v>
      </c>
      <c r="DK142" s="179">
        <f t="shared" si="72"/>
        <v>0</v>
      </c>
      <c r="DL142" s="173" t="e">
        <f t="shared" si="93"/>
        <v>#REF!</v>
      </c>
    </row>
    <row r="143" spans="1:116">
      <c r="A143" s="168">
        <v>2212</v>
      </c>
      <c r="B143" s="2">
        <v>150692</v>
      </c>
      <c r="C143" s="2" t="s">
        <v>344</v>
      </c>
      <c r="D143" s="30"/>
      <c r="E143" s="226"/>
      <c r="F143" s="176">
        <v>0</v>
      </c>
      <c r="G143" s="176">
        <v>0</v>
      </c>
      <c r="H143" s="176">
        <v>23177.7</v>
      </c>
      <c r="I143" s="176">
        <v>0</v>
      </c>
      <c r="J143" s="176">
        <v>0</v>
      </c>
      <c r="K143" s="176">
        <v>0</v>
      </c>
      <c r="L143" s="30">
        <f t="shared" si="73"/>
        <v>23177.7</v>
      </c>
      <c r="M143" s="176">
        <f t="shared" si="74"/>
        <v>18542.16</v>
      </c>
      <c r="N143" s="226"/>
      <c r="O143" s="176">
        <v>0</v>
      </c>
      <c r="P143" s="176">
        <v>0</v>
      </c>
      <c r="Q143" s="176">
        <v>15451.800000000001</v>
      </c>
      <c r="R143" s="176">
        <v>0</v>
      </c>
      <c r="S143" s="176">
        <v>0</v>
      </c>
      <c r="T143" s="176">
        <v>0</v>
      </c>
      <c r="U143" s="176">
        <f t="shared" si="75"/>
        <v>15451.800000000001</v>
      </c>
      <c r="V143" s="176">
        <f t="shared" si="76"/>
        <v>12361.440000000002</v>
      </c>
      <c r="W143" s="226"/>
      <c r="X143" s="247"/>
      <c r="Y143" s="176">
        <v>0</v>
      </c>
      <c r="Z143" s="176">
        <v>17051.494736842105</v>
      </c>
      <c r="AA143" s="176">
        <v>113.68421052631578</v>
      </c>
      <c r="AB143" s="176">
        <v>0</v>
      </c>
      <c r="AC143" s="176">
        <v>0</v>
      </c>
      <c r="AD143" s="176">
        <f t="shared" si="77"/>
        <v>17165.178947368422</v>
      </c>
      <c r="AE143" s="247">
        <f t="shared" si="78"/>
        <v>13732.143157894738</v>
      </c>
      <c r="AF143" s="226"/>
      <c r="AG143" s="247">
        <v>2123.5500000000002</v>
      </c>
      <c r="AH143" s="247">
        <v>1166.0999999999999</v>
      </c>
      <c r="AI143" s="247">
        <v>1461.9789473684211</v>
      </c>
      <c r="AJ143" s="226"/>
      <c r="AK143" s="247">
        <f t="shared" si="79"/>
        <v>1698.8400000000001</v>
      </c>
      <c r="AL143" s="247">
        <f t="shared" si="80"/>
        <v>932.88</v>
      </c>
      <c r="AM143" s="247">
        <f t="shared" si="81"/>
        <v>1169.583157894737</v>
      </c>
      <c r="AN143" s="225"/>
      <c r="AO143" s="225">
        <v>0</v>
      </c>
      <c r="AP143" s="225">
        <v>0</v>
      </c>
      <c r="AQ143" s="225">
        <v>15451.800000000001</v>
      </c>
      <c r="AR143" s="225">
        <v>0</v>
      </c>
      <c r="AS143" s="225">
        <v>0</v>
      </c>
      <c r="AT143" s="225">
        <v>0</v>
      </c>
      <c r="AU143" s="225">
        <v>1166.0999999999999</v>
      </c>
      <c r="AV143" s="225">
        <f t="shared" si="82"/>
        <v>16617.900000000001</v>
      </c>
      <c r="AX143" s="225">
        <f t="shared" si="83"/>
        <v>0</v>
      </c>
      <c r="AY143" s="225">
        <f t="shared" si="84"/>
        <v>0</v>
      </c>
      <c r="AZ143" s="225">
        <f t="shared" si="85"/>
        <v>-7725.9</v>
      </c>
      <c r="BA143" s="225">
        <f t="shared" si="86"/>
        <v>0</v>
      </c>
      <c r="BB143" s="225">
        <f t="shared" si="87"/>
        <v>0</v>
      </c>
      <c r="BC143" s="225">
        <f t="shared" si="88"/>
        <v>0</v>
      </c>
      <c r="BD143" s="225">
        <f t="shared" si="89"/>
        <v>-957.45000000000027</v>
      </c>
      <c r="BE143" s="225">
        <f t="shared" si="90"/>
        <v>-8683.35</v>
      </c>
      <c r="BF143" s="225">
        <f t="shared" si="91"/>
        <v>0</v>
      </c>
      <c r="BG143" s="225">
        <f t="shared" si="64"/>
        <v>0</v>
      </c>
      <c r="BH143" s="225">
        <f t="shared" si="65"/>
        <v>0</v>
      </c>
      <c r="BI143" s="225">
        <f t="shared" si="66"/>
        <v>-3090.3599999999988</v>
      </c>
      <c r="BJ143" s="225">
        <f t="shared" si="67"/>
        <v>0</v>
      </c>
      <c r="BK143" s="225">
        <f t="shared" si="68"/>
        <v>0</v>
      </c>
      <c r="BL143" s="225">
        <f t="shared" si="69"/>
        <v>0</v>
      </c>
      <c r="BM143" s="225">
        <f t="shared" si="70"/>
        <v>-532.74000000000024</v>
      </c>
      <c r="BN143" s="225">
        <f t="shared" si="92"/>
        <v>-3623.099999999999</v>
      </c>
      <c r="BO143" s="225">
        <f t="shared" si="71"/>
        <v>0</v>
      </c>
      <c r="BP143" s="225"/>
      <c r="BQ143" s="225"/>
      <c r="BR143" s="225"/>
      <c r="BS143" s="225"/>
      <c r="BT143" s="225"/>
      <c r="BU143" s="225"/>
      <c r="BV143" s="225"/>
      <c r="BW143" s="225"/>
      <c r="BY143" s="176"/>
      <c r="BZ143" s="176"/>
      <c r="CA143" s="176"/>
      <c r="CB143" s="176"/>
      <c r="CC143" s="176"/>
      <c r="CD143" s="176"/>
      <c r="CE143" s="176"/>
      <c r="CF143" s="176"/>
      <c r="CH143" s="248"/>
      <c r="CI143" s="248"/>
      <c r="CJ143" s="248"/>
      <c r="CK143" s="248"/>
      <c r="CL143" s="248"/>
      <c r="CM143" s="248"/>
      <c r="CN143" s="248"/>
      <c r="CO143" s="248"/>
      <c r="CQ143" s="248"/>
      <c r="CR143" s="248"/>
      <c r="CS143" s="248"/>
      <c r="CT143" s="248"/>
      <c r="CU143" s="248"/>
      <c r="CV143" s="248"/>
      <c r="CW143" s="248"/>
      <c r="CX143" s="248"/>
      <c r="CY143" s="248"/>
      <c r="DA143" s="248"/>
      <c r="DB143" s="248"/>
      <c r="DC143" s="248"/>
      <c r="DD143" s="248"/>
      <c r="DE143" s="248"/>
      <c r="DF143" s="248"/>
      <c r="DG143" s="248"/>
      <c r="DH143" s="248"/>
      <c r="DJ143" s="179" t="e">
        <f>#REF!+((SUMIFS($F143:$AM143,$F$3:$AM$3,$DJ$7)*80%))+SUMIFS(#REF!,#REF!,$DJ$7)</f>
        <v>#REF!</v>
      </c>
      <c r="DK143" s="179">
        <f t="shared" si="72"/>
        <v>0</v>
      </c>
      <c r="DL143" s="173" t="e">
        <f t="shared" si="93"/>
        <v>#REF!</v>
      </c>
    </row>
    <row r="144" spans="1:116">
      <c r="A144" s="168">
        <v>2102</v>
      </c>
      <c r="B144" s="2">
        <v>139120</v>
      </c>
      <c r="C144" s="2" t="s">
        <v>345</v>
      </c>
      <c r="D144" s="30"/>
      <c r="E144" s="226"/>
      <c r="F144" s="176">
        <v>0</v>
      </c>
      <c r="G144" s="176">
        <v>0</v>
      </c>
      <c r="H144" s="176">
        <v>32007.3</v>
      </c>
      <c r="I144" s="176">
        <v>2730</v>
      </c>
      <c r="J144" s="176">
        <v>0</v>
      </c>
      <c r="K144" s="176">
        <v>0</v>
      </c>
      <c r="L144" s="30">
        <f t="shared" si="73"/>
        <v>34737.300000000003</v>
      </c>
      <c r="M144" s="176">
        <f t="shared" si="74"/>
        <v>27789.840000000004</v>
      </c>
      <c r="N144" s="226"/>
      <c r="O144" s="176">
        <v>0</v>
      </c>
      <c r="P144" s="176">
        <v>0</v>
      </c>
      <c r="Q144" s="176">
        <v>56288.7</v>
      </c>
      <c r="R144" s="176">
        <v>3705</v>
      </c>
      <c r="S144" s="176">
        <v>1417</v>
      </c>
      <c r="T144" s="176">
        <v>0</v>
      </c>
      <c r="U144" s="176">
        <f t="shared" si="75"/>
        <v>61410.7</v>
      </c>
      <c r="V144" s="176">
        <f t="shared" si="76"/>
        <v>49128.56</v>
      </c>
      <c r="W144" s="226"/>
      <c r="X144" s="247"/>
      <c r="Y144" s="176">
        <v>0</v>
      </c>
      <c r="Z144" s="176">
        <v>35711.621052631577</v>
      </c>
      <c r="AA144" s="176">
        <v>2671.5789473684213</v>
      </c>
      <c r="AB144" s="176">
        <v>717.40720221606648</v>
      </c>
      <c r="AC144" s="176">
        <v>0</v>
      </c>
      <c r="AD144" s="176">
        <f t="shared" si="77"/>
        <v>39100.607202216066</v>
      </c>
      <c r="AE144" s="247">
        <f t="shared" si="78"/>
        <v>31280.485761772856</v>
      </c>
      <c r="AF144" s="226"/>
      <c r="AG144" s="247">
        <v>2131.3499999999995</v>
      </c>
      <c r="AH144" s="247">
        <v>3301.35</v>
      </c>
      <c r="AI144" s="247">
        <v>2237.8736842105263</v>
      </c>
      <c r="AJ144" s="226"/>
      <c r="AK144" s="247">
        <f t="shared" si="79"/>
        <v>1705.0799999999997</v>
      </c>
      <c r="AL144" s="247">
        <f t="shared" si="80"/>
        <v>2641.08</v>
      </c>
      <c r="AM144" s="247">
        <f t="shared" si="81"/>
        <v>1790.2989473684211</v>
      </c>
      <c r="AN144" s="225"/>
      <c r="AO144" s="225">
        <v>0</v>
      </c>
      <c r="AP144" s="225">
        <v>0</v>
      </c>
      <c r="AQ144" s="225">
        <v>71740.5</v>
      </c>
      <c r="AR144" s="225">
        <v>4680</v>
      </c>
      <c r="AS144" s="225">
        <v>1789.8947368421054</v>
      </c>
      <c r="AT144" s="225">
        <v>0</v>
      </c>
      <c r="AU144" s="225">
        <v>3896.1</v>
      </c>
      <c r="AV144" s="225">
        <f t="shared" si="82"/>
        <v>82106.494736842113</v>
      </c>
      <c r="AX144" s="225">
        <f t="shared" si="83"/>
        <v>0</v>
      </c>
      <c r="AY144" s="225">
        <f t="shared" si="84"/>
        <v>0</v>
      </c>
      <c r="AZ144" s="225">
        <f t="shared" si="85"/>
        <v>39733.199999999997</v>
      </c>
      <c r="BA144" s="225">
        <f t="shared" si="86"/>
        <v>1950</v>
      </c>
      <c r="BB144" s="225">
        <f t="shared" si="87"/>
        <v>1789.8947368421054</v>
      </c>
      <c r="BC144" s="225">
        <f t="shared" si="88"/>
        <v>0</v>
      </c>
      <c r="BD144" s="225">
        <f t="shared" si="89"/>
        <v>1764.7500000000005</v>
      </c>
      <c r="BE144" s="225">
        <f t="shared" si="90"/>
        <v>45237.844736842104</v>
      </c>
      <c r="BF144" s="225">
        <f t="shared" si="91"/>
        <v>0</v>
      </c>
      <c r="BG144" s="225">
        <f t="shared" si="64"/>
        <v>0</v>
      </c>
      <c r="BH144" s="225">
        <f t="shared" si="65"/>
        <v>0</v>
      </c>
      <c r="BI144" s="225">
        <f t="shared" si="66"/>
        <v>46134.66</v>
      </c>
      <c r="BJ144" s="225">
        <f t="shared" si="67"/>
        <v>2496</v>
      </c>
      <c r="BK144" s="225">
        <f t="shared" si="68"/>
        <v>1789.8947368421054</v>
      </c>
      <c r="BL144" s="225">
        <f t="shared" si="69"/>
        <v>0</v>
      </c>
      <c r="BM144" s="225">
        <f t="shared" si="70"/>
        <v>2191.0200000000004</v>
      </c>
      <c r="BN144" s="225">
        <f t="shared" si="92"/>
        <v>52611.574736842114</v>
      </c>
      <c r="BO144" s="225">
        <f t="shared" si="71"/>
        <v>0</v>
      </c>
      <c r="BP144" s="225"/>
      <c r="BQ144" s="225"/>
      <c r="BR144" s="225"/>
      <c r="BS144" s="225"/>
      <c r="BT144" s="225"/>
      <c r="BU144" s="225"/>
      <c r="BV144" s="225"/>
      <c r="BW144" s="225"/>
      <c r="BY144" s="176"/>
      <c r="BZ144" s="176"/>
      <c r="CA144" s="176"/>
      <c r="CB144" s="176"/>
      <c r="CC144" s="176"/>
      <c r="CD144" s="176"/>
      <c r="CE144" s="176"/>
      <c r="CF144" s="176"/>
      <c r="CH144" s="248"/>
      <c r="CI144" s="248"/>
      <c r="CJ144" s="248"/>
      <c r="CK144" s="248"/>
      <c r="CL144" s="248"/>
      <c r="CM144" s="248"/>
      <c r="CN144" s="248"/>
      <c r="CO144" s="248"/>
      <c r="CQ144" s="248"/>
      <c r="CR144" s="248"/>
      <c r="CS144" s="248"/>
      <c r="CT144" s="248"/>
      <c r="CU144" s="248"/>
      <c r="CV144" s="248"/>
      <c r="CW144" s="248"/>
      <c r="CX144" s="248"/>
      <c r="CY144" s="248"/>
      <c r="DA144" s="248"/>
      <c r="DB144" s="248"/>
      <c r="DC144" s="248"/>
      <c r="DD144" s="248"/>
      <c r="DE144" s="248"/>
      <c r="DF144" s="248"/>
      <c r="DG144" s="248"/>
      <c r="DH144" s="248"/>
      <c r="DJ144" s="179" t="e">
        <f>#REF!+((SUMIFS($F144:$AM144,$F$3:$AM$3,$DJ$7)*80%))+SUMIFS(#REF!,#REF!,$DJ$7)</f>
        <v>#REF!</v>
      </c>
      <c r="DK144" s="179">
        <f t="shared" si="72"/>
        <v>0</v>
      </c>
      <c r="DL144" s="173" t="e">
        <f t="shared" si="93"/>
        <v>#REF!</v>
      </c>
    </row>
    <row r="145" spans="1:116">
      <c r="A145" s="168">
        <v>2107</v>
      </c>
      <c r="B145" s="2">
        <v>139129</v>
      </c>
      <c r="C145" s="2" t="s">
        <v>346</v>
      </c>
      <c r="D145" s="30"/>
      <c r="E145" s="226"/>
      <c r="F145" s="176">
        <v>0</v>
      </c>
      <c r="G145" s="176">
        <v>0</v>
      </c>
      <c r="H145" s="176">
        <v>0</v>
      </c>
      <c r="I145" s="176">
        <v>0</v>
      </c>
      <c r="J145" s="176">
        <v>0</v>
      </c>
      <c r="K145" s="176">
        <v>0</v>
      </c>
      <c r="L145" s="30">
        <f t="shared" si="73"/>
        <v>0</v>
      </c>
      <c r="M145" s="176">
        <f t="shared" si="74"/>
        <v>0</v>
      </c>
      <c r="N145" s="226"/>
      <c r="O145" s="176">
        <v>0</v>
      </c>
      <c r="P145" s="176">
        <v>0</v>
      </c>
      <c r="Q145" s="176">
        <v>0</v>
      </c>
      <c r="R145" s="176">
        <v>0</v>
      </c>
      <c r="S145" s="176">
        <v>0</v>
      </c>
      <c r="T145" s="176">
        <v>0</v>
      </c>
      <c r="U145" s="176">
        <f t="shared" si="75"/>
        <v>0</v>
      </c>
      <c r="V145" s="176">
        <f t="shared" si="76"/>
        <v>0</v>
      </c>
      <c r="W145" s="226"/>
      <c r="X145" s="247"/>
      <c r="Y145" s="176">
        <v>0</v>
      </c>
      <c r="Z145" s="176">
        <v>0</v>
      </c>
      <c r="AA145" s="176">
        <v>0</v>
      </c>
      <c r="AB145" s="176">
        <v>0</v>
      </c>
      <c r="AC145" s="176">
        <v>0</v>
      </c>
      <c r="AD145" s="176">
        <f t="shared" si="77"/>
        <v>0</v>
      </c>
      <c r="AE145" s="247">
        <f t="shared" si="78"/>
        <v>0</v>
      </c>
      <c r="AF145" s="226"/>
      <c r="AG145" s="247">
        <v>0</v>
      </c>
      <c r="AH145" s="247">
        <v>0</v>
      </c>
      <c r="AI145" s="247">
        <v>0</v>
      </c>
      <c r="AJ145" s="226"/>
      <c r="AK145" s="247">
        <f t="shared" si="79"/>
        <v>0</v>
      </c>
      <c r="AL145" s="247">
        <f t="shared" si="80"/>
        <v>0</v>
      </c>
      <c r="AM145" s="247">
        <f t="shared" si="81"/>
        <v>0</v>
      </c>
      <c r="AN145" s="225"/>
      <c r="AO145" s="225">
        <v>0</v>
      </c>
      <c r="AP145" s="225">
        <v>0</v>
      </c>
      <c r="AQ145" s="225">
        <v>0</v>
      </c>
      <c r="AR145" s="225">
        <v>0</v>
      </c>
      <c r="AS145" s="225">
        <v>0</v>
      </c>
      <c r="AT145" s="225">
        <v>0</v>
      </c>
      <c r="AU145" s="225">
        <v>0</v>
      </c>
      <c r="AV145" s="225">
        <f t="shared" si="82"/>
        <v>0</v>
      </c>
      <c r="AX145" s="225">
        <f t="shared" si="83"/>
        <v>0</v>
      </c>
      <c r="AY145" s="225">
        <f t="shared" si="84"/>
        <v>0</v>
      </c>
      <c r="AZ145" s="225">
        <f t="shared" si="85"/>
        <v>0</v>
      </c>
      <c r="BA145" s="225">
        <f t="shared" si="86"/>
        <v>0</v>
      </c>
      <c r="BB145" s="225">
        <f t="shared" si="87"/>
        <v>0</v>
      </c>
      <c r="BC145" s="225">
        <f t="shared" si="88"/>
        <v>0</v>
      </c>
      <c r="BD145" s="225">
        <f t="shared" si="89"/>
        <v>0</v>
      </c>
      <c r="BE145" s="225">
        <f t="shared" si="90"/>
        <v>0</v>
      </c>
      <c r="BF145" s="225">
        <f t="shared" si="91"/>
        <v>0</v>
      </c>
      <c r="BG145" s="225">
        <f t="shared" si="64"/>
        <v>0</v>
      </c>
      <c r="BH145" s="225">
        <f t="shared" si="65"/>
        <v>0</v>
      </c>
      <c r="BI145" s="225">
        <f t="shared" si="66"/>
        <v>0</v>
      </c>
      <c r="BJ145" s="225">
        <f t="shared" si="67"/>
        <v>0</v>
      </c>
      <c r="BK145" s="225">
        <f t="shared" si="68"/>
        <v>0</v>
      </c>
      <c r="BL145" s="225">
        <f t="shared" si="69"/>
        <v>0</v>
      </c>
      <c r="BM145" s="225">
        <f t="shared" si="70"/>
        <v>0</v>
      </c>
      <c r="BN145" s="225">
        <f t="shared" si="92"/>
        <v>0</v>
      </c>
      <c r="BO145" s="225">
        <f t="shared" si="71"/>
        <v>0</v>
      </c>
      <c r="BP145" s="225"/>
      <c r="BQ145" s="225"/>
      <c r="BR145" s="225"/>
      <c r="BS145" s="225"/>
      <c r="BT145" s="225"/>
      <c r="BU145" s="225"/>
      <c r="BV145" s="225"/>
      <c r="BW145" s="225"/>
      <c r="BY145" s="176"/>
      <c r="BZ145" s="176"/>
      <c r="CA145" s="176"/>
      <c r="CB145" s="176"/>
      <c r="CC145" s="176"/>
      <c r="CD145" s="176"/>
      <c r="CE145" s="176"/>
      <c r="CF145" s="176"/>
      <c r="CH145" s="248"/>
      <c r="CI145" s="248"/>
      <c r="CJ145" s="248"/>
      <c r="CK145" s="248"/>
      <c r="CL145" s="248"/>
      <c r="CM145" s="248"/>
      <c r="CN145" s="248"/>
      <c r="CO145" s="248"/>
      <c r="CQ145" s="248"/>
      <c r="CR145" s="248"/>
      <c r="CS145" s="248"/>
      <c r="CT145" s="248"/>
      <c r="CU145" s="248"/>
      <c r="CV145" s="248"/>
      <c r="CW145" s="248"/>
      <c r="CX145" s="248"/>
      <c r="CY145" s="248"/>
      <c r="DA145" s="248"/>
      <c r="DB145" s="248"/>
      <c r="DC145" s="248"/>
      <c r="DD145" s="248"/>
      <c r="DE145" s="248"/>
      <c r="DF145" s="248"/>
      <c r="DG145" s="248"/>
      <c r="DH145" s="248"/>
      <c r="DJ145" s="179" t="e">
        <f>#REF!+((SUMIFS($F145:$AM145,$F$3:$AM$3,$DJ$7)*80%))+SUMIFS(#REF!,#REF!,$DJ$7)</f>
        <v>#REF!</v>
      </c>
      <c r="DK145" s="179">
        <f t="shared" si="72"/>
        <v>0</v>
      </c>
      <c r="DL145" s="173" t="e">
        <f t="shared" si="93"/>
        <v>#REF!</v>
      </c>
    </row>
    <row r="146" spans="1:116">
      <c r="A146" s="168">
        <v>2117</v>
      </c>
      <c r="B146" s="2">
        <v>139242</v>
      </c>
      <c r="C146" s="2" t="s">
        <v>347</v>
      </c>
      <c r="D146" s="30"/>
      <c r="E146" s="226"/>
      <c r="F146" s="176">
        <v>0</v>
      </c>
      <c r="G146" s="176">
        <v>0</v>
      </c>
      <c r="H146" s="176">
        <v>39733.200000000004</v>
      </c>
      <c r="I146" s="176">
        <v>1560</v>
      </c>
      <c r="J146" s="176">
        <v>0</v>
      </c>
      <c r="K146" s="176">
        <v>0</v>
      </c>
      <c r="L146" s="30">
        <f t="shared" si="73"/>
        <v>41293.200000000004</v>
      </c>
      <c r="M146" s="176">
        <f t="shared" si="74"/>
        <v>33034.560000000005</v>
      </c>
      <c r="N146" s="226"/>
      <c r="O146" s="176">
        <v>0</v>
      </c>
      <c r="P146" s="176">
        <v>0</v>
      </c>
      <c r="Q146" s="176">
        <v>23177.7</v>
      </c>
      <c r="R146" s="176">
        <v>390</v>
      </c>
      <c r="S146" s="176">
        <v>149.15789473684211</v>
      </c>
      <c r="T146" s="176">
        <v>0</v>
      </c>
      <c r="U146" s="176">
        <f t="shared" si="75"/>
        <v>23716.857894736844</v>
      </c>
      <c r="V146" s="176">
        <f t="shared" si="76"/>
        <v>18973.486315789476</v>
      </c>
      <c r="W146" s="226"/>
      <c r="X146" s="247"/>
      <c r="Y146" s="176">
        <v>0</v>
      </c>
      <c r="Z146" s="176">
        <v>30242.27368421053</v>
      </c>
      <c r="AA146" s="176">
        <v>1136.8421052631579</v>
      </c>
      <c r="AB146" s="176">
        <v>260.8753462603878</v>
      </c>
      <c r="AC146" s="176">
        <v>0</v>
      </c>
      <c r="AD146" s="176">
        <f t="shared" si="77"/>
        <v>31639.991135734075</v>
      </c>
      <c r="AE146" s="247">
        <f t="shared" si="78"/>
        <v>25311.992908587261</v>
      </c>
      <c r="AF146" s="226"/>
      <c r="AG146" s="247">
        <v>1593.1499999999999</v>
      </c>
      <c r="AH146" s="247">
        <v>563.54999999999995</v>
      </c>
      <c r="AI146" s="247">
        <v>1081.1368421052632</v>
      </c>
      <c r="AJ146" s="226"/>
      <c r="AK146" s="247">
        <f t="shared" si="79"/>
        <v>1274.52</v>
      </c>
      <c r="AL146" s="247">
        <f t="shared" si="80"/>
        <v>450.84</v>
      </c>
      <c r="AM146" s="247">
        <f t="shared" si="81"/>
        <v>864.90947368421064</v>
      </c>
      <c r="AN146" s="225"/>
      <c r="AO146" s="225">
        <v>0</v>
      </c>
      <c r="AP146" s="225">
        <v>0</v>
      </c>
      <c r="AQ146" s="225">
        <v>37525.800000000003</v>
      </c>
      <c r="AR146" s="225">
        <v>780</v>
      </c>
      <c r="AS146" s="225">
        <v>298.31578947368422</v>
      </c>
      <c r="AT146" s="225">
        <v>0</v>
      </c>
      <c r="AU146" s="225">
        <v>684.45</v>
      </c>
      <c r="AV146" s="225">
        <f t="shared" si="82"/>
        <v>39288.565789473687</v>
      </c>
      <c r="AX146" s="225">
        <f t="shared" si="83"/>
        <v>0</v>
      </c>
      <c r="AY146" s="225">
        <f t="shared" si="84"/>
        <v>0</v>
      </c>
      <c r="AZ146" s="225">
        <f t="shared" si="85"/>
        <v>-2207.4000000000015</v>
      </c>
      <c r="BA146" s="225">
        <f t="shared" si="86"/>
        <v>-780</v>
      </c>
      <c r="BB146" s="225">
        <f t="shared" si="87"/>
        <v>298.31578947368422</v>
      </c>
      <c r="BC146" s="225">
        <f t="shared" si="88"/>
        <v>0</v>
      </c>
      <c r="BD146" s="225">
        <f t="shared" si="89"/>
        <v>-908.69999999999982</v>
      </c>
      <c r="BE146" s="225">
        <f t="shared" si="90"/>
        <v>-3597.7842105263171</v>
      </c>
      <c r="BF146" s="225">
        <f t="shared" si="91"/>
        <v>0</v>
      </c>
      <c r="BG146" s="225">
        <f t="shared" si="64"/>
        <v>0</v>
      </c>
      <c r="BH146" s="225">
        <f t="shared" si="65"/>
        <v>0</v>
      </c>
      <c r="BI146" s="225">
        <f t="shared" si="66"/>
        <v>5739.239999999998</v>
      </c>
      <c r="BJ146" s="225">
        <f t="shared" si="67"/>
        <v>-468</v>
      </c>
      <c r="BK146" s="225">
        <f t="shared" si="68"/>
        <v>298.31578947368422</v>
      </c>
      <c r="BL146" s="225">
        <f t="shared" si="69"/>
        <v>0</v>
      </c>
      <c r="BM146" s="225">
        <f t="shared" si="70"/>
        <v>-590.06999999999994</v>
      </c>
      <c r="BN146" s="225">
        <f t="shared" si="92"/>
        <v>4979.4857894736824</v>
      </c>
      <c r="BO146" s="225">
        <f t="shared" si="71"/>
        <v>0</v>
      </c>
      <c r="BP146" s="225"/>
      <c r="BQ146" s="225"/>
      <c r="BR146" s="225"/>
      <c r="BS146" s="225"/>
      <c r="BT146" s="225"/>
      <c r="BU146" s="225"/>
      <c r="BV146" s="225"/>
      <c r="BW146" s="225"/>
      <c r="BY146" s="176"/>
      <c r="BZ146" s="176"/>
      <c r="CA146" s="176"/>
      <c r="CB146" s="176"/>
      <c r="CC146" s="176"/>
      <c r="CD146" s="176"/>
      <c r="CE146" s="176"/>
      <c r="CF146" s="176"/>
      <c r="CH146" s="248"/>
      <c r="CI146" s="248"/>
      <c r="CJ146" s="248"/>
      <c r="CK146" s="248"/>
      <c r="CL146" s="248"/>
      <c r="CM146" s="248"/>
      <c r="CN146" s="248"/>
      <c r="CO146" s="248"/>
      <c r="CQ146" s="248"/>
      <c r="CR146" s="248"/>
      <c r="CS146" s="248"/>
      <c r="CT146" s="248"/>
      <c r="CU146" s="248"/>
      <c r="CV146" s="248"/>
      <c r="CW146" s="248"/>
      <c r="CX146" s="248"/>
      <c r="CY146" s="248"/>
      <c r="DA146" s="248"/>
      <c r="DB146" s="248"/>
      <c r="DC146" s="248"/>
      <c r="DD146" s="248"/>
      <c r="DE146" s="248"/>
      <c r="DF146" s="248"/>
      <c r="DG146" s="248"/>
      <c r="DH146" s="248"/>
      <c r="DJ146" s="179" t="e">
        <f>#REF!+((SUMIFS($F146:$AM146,$F$3:$AM$3,$DJ$7)*80%))+SUMIFS(#REF!,#REF!,$DJ$7)</f>
        <v>#REF!</v>
      </c>
      <c r="DK146" s="179">
        <f t="shared" si="72"/>
        <v>0</v>
      </c>
      <c r="DL146" s="173" t="e">
        <f t="shared" si="93"/>
        <v>#REF!</v>
      </c>
    </row>
    <row r="147" spans="1:116">
      <c r="A147" s="168">
        <v>2141</v>
      </c>
      <c r="B147" s="2">
        <v>140161</v>
      </c>
      <c r="C147" s="2" t="s">
        <v>348</v>
      </c>
      <c r="D147" s="30"/>
      <c r="E147" s="226"/>
      <c r="F147" s="176">
        <v>0</v>
      </c>
      <c r="G147" s="176">
        <v>0</v>
      </c>
      <c r="H147" s="176">
        <v>19866.600000000002</v>
      </c>
      <c r="I147" s="176">
        <v>2925</v>
      </c>
      <c r="J147" s="176">
        <v>1118.6842105263158</v>
      </c>
      <c r="K147" s="176">
        <v>0</v>
      </c>
      <c r="L147" s="30">
        <f t="shared" si="73"/>
        <v>23910.284210526319</v>
      </c>
      <c r="M147" s="176">
        <f t="shared" si="74"/>
        <v>19128.227368421056</v>
      </c>
      <c r="N147" s="226"/>
      <c r="O147" s="176">
        <v>0</v>
      </c>
      <c r="P147" s="176">
        <v>0</v>
      </c>
      <c r="Q147" s="176">
        <v>17659.2</v>
      </c>
      <c r="R147" s="176">
        <v>0</v>
      </c>
      <c r="S147" s="176">
        <v>0</v>
      </c>
      <c r="T147" s="176">
        <v>0</v>
      </c>
      <c r="U147" s="176">
        <f t="shared" si="75"/>
        <v>17659.2</v>
      </c>
      <c r="V147" s="176">
        <f t="shared" si="76"/>
        <v>14127.36</v>
      </c>
      <c r="W147" s="226"/>
      <c r="X147" s="247"/>
      <c r="Y147" s="176">
        <v>0</v>
      </c>
      <c r="Z147" s="176">
        <v>16729.768421052635</v>
      </c>
      <c r="AA147" s="176">
        <v>1705.2631578947369</v>
      </c>
      <c r="AB147" s="176">
        <v>565.22991689750688</v>
      </c>
      <c r="AC147" s="176">
        <v>0</v>
      </c>
      <c r="AD147" s="176">
        <f t="shared" si="77"/>
        <v>19000.261495844879</v>
      </c>
      <c r="AE147" s="247">
        <f t="shared" si="78"/>
        <v>15200.209196675904</v>
      </c>
      <c r="AF147" s="226"/>
      <c r="AG147" s="247">
        <v>1834.9499999999998</v>
      </c>
      <c r="AH147" s="247">
        <v>1903.2</v>
      </c>
      <c r="AI147" s="247">
        <v>1624.5473684210526</v>
      </c>
      <c r="AJ147" s="226"/>
      <c r="AK147" s="247">
        <f t="shared" si="79"/>
        <v>1467.96</v>
      </c>
      <c r="AL147" s="247">
        <f t="shared" si="80"/>
        <v>1522.5600000000002</v>
      </c>
      <c r="AM147" s="247">
        <f t="shared" si="81"/>
        <v>1299.6378947368421</v>
      </c>
      <c r="AN147" s="225"/>
      <c r="AO147" s="225">
        <v>0</v>
      </c>
      <c r="AP147" s="225">
        <v>0</v>
      </c>
      <c r="AQ147" s="225">
        <v>19866.600000000002</v>
      </c>
      <c r="AR147" s="225">
        <v>0</v>
      </c>
      <c r="AS147" s="225">
        <v>0</v>
      </c>
      <c r="AT147" s="225">
        <v>0</v>
      </c>
      <c r="AU147" s="225">
        <v>2022.1499999999999</v>
      </c>
      <c r="AV147" s="225">
        <f t="shared" si="82"/>
        <v>21888.750000000004</v>
      </c>
      <c r="AX147" s="225">
        <f t="shared" si="83"/>
        <v>0</v>
      </c>
      <c r="AY147" s="225">
        <f t="shared" si="84"/>
        <v>0</v>
      </c>
      <c r="AZ147" s="225">
        <f t="shared" si="85"/>
        <v>0</v>
      </c>
      <c r="BA147" s="225">
        <f t="shared" si="86"/>
        <v>-2925</v>
      </c>
      <c r="BB147" s="225">
        <f t="shared" si="87"/>
        <v>-1118.6842105263158</v>
      </c>
      <c r="BC147" s="225">
        <f t="shared" si="88"/>
        <v>0</v>
      </c>
      <c r="BD147" s="225">
        <f t="shared" si="89"/>
        <v>187.20000000000005</v>
      </c>
      <c r="BE147" s="225">
        <f t="shared" si="90"/>
        <v>-3856.484210526316</v>
      </c>
      <c r="BF147" s="225">
        <f t="shared" si="91"/>
        <v>0</v>
      </c>
      <c r="BG147" s="225">
        <f t="shared" si="64"/>
        <v>0</v>
      </c>
      <c r="BH147" s="225">
        <f t="shared" si="65"/>
        <v>0</v>
      </c>
      <c r="BI147" s="225">
        <f t="shared" si="66"/>
        <v>3973.3199999999997</v>
      </c>
      <c r="BJ147" s="225">
        <f t="shared" si="67"/>
        <v>-2340</v>
      </c>
      <c r="BK147" s="225">
        <f t="shared" si="68"/>
        <v>-894.94736842105272</v>
      </c>
      <c r="BL147" s="225">
        <f t="shared" si="69"/>
        <v>0</v>
      </c>
      <c r="BM147" s="225">
        <f t="shared" si="70"/>
        <v>554.18999999999983</v>
      </c>
      <c r="BN147" s="225">
        <f t="shared" si="92"/>
        <v>1292.5626315789468</v>
      </c>
      <c r="BO147" s="225">
        <f t="shared" si="71"/>
        <v>0</v>
      </c>
      <c r="BP147" s="225"/>
      <c r="BQ147" s="225"/>
      <c r="BR147" s="225"/>
      <c r="BS147" s="225"/>
      <c r="BT147" s="225"/>
      <c r="BU147" s="225"/>
      <c r="BV147" s="225"/>
      <c r="BW147" s="225"/>
      <c r="BY147" s="176"/>
      <c r="BZ147" s="176"/>
      <c r="CA147" s="176"/>
      <c r="CB147" s="176"/>
      <c r="CC147" s="176"/>
      <c r="CD147" s="176"/>
      <c r="CE147" s="176"/>
      <c r="CF147" s="176"/>
      <c r="CH147" s="248"/>
      <c r="CI147" s="248"/>
      <c r="CJ147" s="248"/>
      <c r="CK147" s="248"/>
      <c r="CL147" s="248"/>
      <c r="CM147" s="248"/>
      <c r="CN147" s="248"/>
      <c r="CO147" s="248"/>
      <c r="CQ147" s="248"/>
      <c r="CR147" s="248"/>
      <c r="CS147" s="248"/>
      <c r="CT147" s="248"/>
      <c r="CU147" s="248"/>
      <c r="CV147" s="248"/>
      <c r="CW147" s="248"/>
      <c r="CX147" s="248"/>
      <c r="CY147" s="248"/>
      <c r="DA147" s="248"/>
      <c r="DB147" s="248"/>
      <c r="DC147" s="248"/>
      <c r="DD147" s="248"/>
      <c r="DE147" s="248"/>
      <c r="DF147" s="248"/>
      <c r="DG147" s="248"/>
      <c r="DH147" s="248"/>
      <c r="DJ147" s="179" t="e">
        <f>#REF!+((SUMIFS($F147:$AM147,$F$3:$AM$3,$DJ$7)*80%))+SUMIFS(#REF!,#REF!,$DJ$7)</f>
        <v>#REF!</v>
      </c>
      <c r="DK147" s="179">
        <f t="shared" si="72"/>
        <v>0</v>
      </c>
      <c r="DL147" s="173" t="e">
        <f t="shared" si="93"/>
        <v>#REF!</v>
      </c>
    </row>
    <row r="148" spans="1:116">
      <c r="A148" s="168">
        <v>2110</v>
      </c>
      <c r="B148" s="2">
        <v>139214</v>
      </c>
      <c r="C148" s="2" t="s">
        <v>349</v>
      </c>
      <c r="D148" s="30"/>
      <c r="E148" s="226"/>
      <c r="F148" s="176">
        <v>0</v>
      </c>
      <c r="G148" s="176">
        <v>0</v>
      </c>
      <c r="H148" s="176">
        <v>70636.800000000003</v>
      </c>
      <c r="I148" s="176">
        <v>1560</v>
      </c>
      <c r="J148" s="176">
        <v>0</v>
      </c>
      <c r="K148" s="176">
        <v>0</v>
      </c>
      <c r="L148" s="30">
        <f t="shared" si="73"/>
        <v>72196.800000000003</v>
      </c>
      <c r="M148" s="176">
        <f t="shared" si="74"/>
        <v>57757.440000000002</v>
      </c>
      <c r="N148" s="226"/>
      <c r="O148" s="176">
        <v>0</v>
      </c>
      <c r="P148" s="176">
        <v>0</v>
      </c>
      <c r="Q148" s="176">
        <v>51873.9</v>
      </c>
      <c r="R148" s="176">
        <v>1950</v>
      </c>
      <c r="S148" s="176">
        <v>74.578947368421055</v>
      </c>
      <c r="T148" s="176">
        <v>0</v>
      </c>
      <c r="U148" s="176">
        <f t="shared" si="75"/>
        <v>53898.478947368421</v>
      </c>
      <c r="V148" s="176">
        <f t="shared" si="76"/>
        <v>43118.783157894737</v>
      </c>
      <c r="W148" s="226"/>
      <c r="X148" s="247"/>
      <c r="Y148" s="176">
        <v>0</v>
      </c>
      <c r="Z148" s="176">
        <v>54050.021052631586</v>
      </c>
      <c r="AA148" s="176">
        <v>1705.2631578947369</v>
      </c>
      <c r="AB148" s="176">
        <v>195.65650969529085</v>
      </c>
      <c r="AC148" s="176">
        <v>0</v>
      </c>
      <c r="AD148" s="176">
        <f t="shared" si="77"/>
        <v>55950.940720221617</v>
      </c>
      <c r="AE148" s="247">
        <f t="shared" si="78"/>
        <v>44760.752576177299</v>
      </c>
      <c r="AF148" s="226"/>
      <c r="AG148" s="247">
        <v>928.2</v>
      </c>
      <c r="AH148" s="247">
        <v>953.55</v>
      </c>
      <c r="AI148" s="247">
        <v>819.09473684210514</v>
      </c>
      <c r="AJ148" s="226"/>
      <c r="AK148" s="247">
        <f t="shared" si="79"/>
        <v>742.56000000000006</v>
      </c>
      <c r="AL148" s="247">
        <f t="shared" si="80"/>
        <v>762.84</v>
      </c>
      <c r="AM148" s="247">
        <f t="shared" si="81"/>
        <v>655.2757894736842</v>
      </c>
      <c r="AN148" s="225"/>
      <c r="AO148" s="225">
        <v>0</v>
      </c>
      <c r="AP148" s="225">
        <v>0</v>
      </c>
      <c r="AQ148" s="225">
        <v>82777.5</v>
      </c>
      <c r="AR148" s="225">
        <v>1170</v>
      </c>
      <c r="AS148" s="225">
        <v>74.578947368421055</v>
      </c>
      <c r="AT148" s="225">
        <v>0</v>
      </c>
      <c r="AU148" s="225">
        <v>1569.75</v>
      </c>
      <c r="AV148" s="225">
        <f t="shared" si="82"/>
        <v>85591.828947368427</v>
      </c>
      <c r="AX148" s="225">
        <f t="shared" si="83"/>
        <v>0</v>
      </c>
      <c r="AY148" s="225">
        <f t="shared" si="84"/>
        <v>0</v>
      </c>
      <c r="AZ148" s="225">
        <f t="shared" si="85"/>
        <v>12140.699999999997</v>
      </c>
      <c r="BA148" s="225">
        <f t="shared" si="86"/>
        <v>-390</v>
      </c>
      <c r="BB148" s="225">
        <f t="shared" si="87"/>
        <v>74.578947368421055</v>
      </c>
      <c r="BC148" s="225">
        <f t="shared" si="88"/>
        <v>0</v>
      </c>
      <c r="BD148" s="225">
        <f t="shared" si="89"/>
        <v>641.54999999999995</v>
      </c>
      <c r="BE148" s="225">
        <f t="shared" si="90"/>
        <v>12466.828947368418</v>
      </c>
      <c r="BF148" s="225">
        <f t="shared" si="91"/>
        <v>0</v>
      </c>
      <c r="BG148" s="225">
        <f t="shared" si="64"/>
        <v>0</v>
      </c>
      <c r="BH148" s="225">
        <f t="shared" si="65"/>
        <v>0</v>
      </c>
      <c r="BI148" s="225">
        <f t="shared" si="66"/>
        <v>26268.059999999998</v>
      </c>
      <c r="BJ148" s="225">
        <f t="shared" si="67"/>
        <v>-78</v>
      </c>
      <c r="BK148" s="225">
        <f t="shared" si="68"/>
        <v>74.578947368421055</v>
      </c>
      <c r="BL148" s="225">
        <f t="shared" si="69"/>
        <v>0</v>
      </c>
      <c r="BM148" s="225">
        <f t="shared" si="70"/>
        <v>827.18999999999994</v>
      </c>
      <c r="BN148" s="225">
        <f t="shared" si="92"/>
        <v>27091.828947368416</v>
      </c>
      <c r="BO148" s="225">
        <f t="shared" si="71"/>
        <v>0</v>
      </c>
      <c r="BP148" s="225"/>
      <c r="BQ148" s="225"/>
      <c r="BR148" s="225"/>
      <c r="BS148" s="225"/>
      <c r="BT148" s="225"/>
      <c r="BU148" s="225"/>
      <c r="BV148" s="225"/>
      <c r="BW148" s="225"/>
      <c r="BY148" s="176"/>
      <c r="BZ148" s="176"/>
      <c r="CA148" s="176"/>
      <c r="CB148" s="176"/>
      <c r="CC148" s="176"/>
      <c r="CD148" s="176"/>
      <c r="CE148" s="176"/>
      <c r="CF148" s="176"/>
      <c r="CH148" s="248"/>
      <c r="CI148" s="248"/>
      <c r="CJ148" s="248"/>
      <c r="CK148" s="248"/>
      <c r="CL148" s="248"/>
      <c r="CM148" s="248"/>
      <c r="CN148" s="248"/>
      <c r="CO148" s="248"/>
      <c r="CQ148" s="248"/>
      <c r="CR148" s="248"/>
      <c r="CS148" s="248"/>
      <c r="CT148" s="248"/>
      <c r="CU148" s="248"/>
      <c r="CV148" s="248"/>
      <c r="CW148" s="248"/>
      <c r="CX148" s="248"/>
      <c r="CY148" s="248"/>
      <c r="DA148" s="248"/>
      <c r="DB148" s="248"/>
      <c r="DC148" s="248"/>
      <c r="DD148" s="248"/>
      <c r="DE148" s="248"/>
      <c r="DF148" s="248"/>
      <c r="DG148" s="248"/>
      <c r="DH148" s="248"/>
      <c r="DJ148" s="179" t="e">
        <f>#REF!+((SUMIFS($F148:$AM148,$F$3:$AM$3,$DJ$7)*80%))+SUMIFS(#REF!,#REF!,$DJ$7)</f>
        <v>#REF!</v>
      </c>
      <c r="DK148" s="179">
        <f t="shared" si="72"/>
        <v>0</v>
      </c>
      <c r="DL148" s="173" t="e">
        <f t="shared" si="93"/>
        <v>#REF!</v>
      </c>
    </row>
    <row r="149" spans="1:116">
      <c r="A149" s="168">
        <v>2103</v>
      </c>
      <c r="B149" s="2">
        <v>139125</v>
      </c>
      <c r="C149" s="2" t="s">
        <v>350</v>
      </c>
      <c r="D149" s="30"/>
      <c r="E149" s="226"/>
      <c r="F149" s="176">
        <v>0</v>
      </c>
      <c r="G149" s="176">
        <v>0</v>
      </c>
      <c r="H149" s="176">
        <v>64014.600000000006</v>
      </c>
      <c r="I149" s="176">
        <v>3900</v>
      </c>
      <c r="J149" s="176">
        <v>298.31578947368422</v>
      </c>
      <c r="K149" s="176">
        <v>0</v>
      </c>
      <c r="L149" s="30">
        <f t="shared" si="73"/>
        <v>68212.915789473685</v>
      </c>
      <c r="M149" s="176">
        <f t="shared" si="74"/>
        <v>54570.332631578953</v>
      </c>
      <c r="N149" s="226"/>
      <c r="O149" s="176">
        <v>0</v>
      </c>
      <c r="P149" s="176">
        <v>0</v>
      </c>
      <c r="Q149" s="176">
        <v>57392.4</v>
      </c>
      <c r="R149" s="176">
        <v>2340</v>
      </c>
      <c r="S149" s="176">
        <v>74.578947368421055</v>
      </c>
      <c r="T149" s="176">
        <v>0</v>
      </c>
      <c r="U149" s="176">
        <f t="shared" si="75"/>
        <v>59806.978947368421</v>
      </c>
      <c r="V149" s="176">
        <f t="shared" si="76"/>
        <v>47845.58315789474</v>
      </c>
      <c r="W149" s="226"/>
      <c r="X149" s="247"/>
      <c r="Y149" s="176">
        <v>0</v>
      </c>
      <c r="Z149" s="176">
        <v>54371.747368421056</v>
      </c>
      <c r="AA149" s="176">
        <v>2046.3157894736842</v>
      </c>
      <c r="AB149" s="176">
        <v>195.65650969529085</v>
      </c>
      <c r="AC149" s="176">
        <v>0</v>
      </c>
      <c r="AD149" s="176">
        <f t="shared" si="77"/>
        <v>56613.719667590034</v>
      </c>
      <c r="AE149" s="247">
        <f t="shared" si="78"/>
        <v>45290.975734072032</v>
      </c>
      <c r="AF149" s="226"/>
      <c r="AG149" s="247">
        <v>902.85</v>
      </c>
      <c r="AH149" s="247">
        <v>1156.3499999999999</v>
      </c>
      <c r="AI149" s="247">
        <v>863.43157894736828</v>
      </c>
      <c r="AJ149" s="226"/>
      <c r="AK149" s="247">
        <f t="shared" si="79"/>
        <v>722.28000000000009</v>
      </c>
      <c r="AL149" s="247">
        <f t="shared" si="80"/>
        <v>925.07999999999993</v>
      </c>
      <c r="AM149" s="247">
        <f t="shared" si="81"/>
        <v>690.74526315789467</v>
      </c>
      <c r="AN149" s="225"/>
      <c r="AO149" s="225">
        <v>0</v>
      </c>
      <c r="AP149" s="225">
        <v>0</v>
      </c>
      <c r="AQ149" s="225">
        <v>67325.7</v>
      </c>
      <c r="AR149" s="225">
        <v>390</v>
      </c>
      <c r="AS149" s="225">
        <v>149.15789473684211</v>
      </c>
      <c r="AT149" s="225">
        <v>0</v>
      </c>
      <c r="AU149" s="225">
        <v>1585.35</v>
      </c>
      <c r="AV149" s="225">
        <f t="shared" si="82"/>
        <v>69450.207894736843</v>
      </c>
      <c r="AX149" s="225">
        <f t="shared" si="83"/>
        <v>0</v>
      </c>
      <c r="AY149" s="225">
        <f t="shared" si="84"/>
        <v>0</v>
      </c>
      <c r="AZ149" s="225">
        <f t="shared" si="85"/>
        <v>3311.0999999999913</v>
      </c>
      <c r="BA149" s="225">
        <f t="shared" si="86"/>
        <v>-3510</v>
      </c>
      <c r="BB149" s="225">
        <f t="shared" si="87"/>
        <v>-149.15789473684211</v>
      </c>
      <c r="BC149" s="225">
        <f t="shared" si="88"/>
        <v>0</v>
      </c>
      <c r="BD149" s="225">
        <f t="shared" si="89"/>
        <v>682.49999999999989</v>
      </c>
      <c r="BE149" s="225">
        <f t="shared" si="90"/>
        <v>334.44210526314907</v>
      </c>
      <c r="BF149" s="225">
        <f t="shared" si="91"/>
        <v>0</v>
      </c>
      <c r="BG149" s="225">
        <f t="shared" si="64"/>
        <v>0</v>
      </c>
      <c r="BH149" s="225">
        <f t="shared" si="65"/>
        <v>0</v>
      </c>
      <c r="BI149" s="225">
        <f t="shared" si="66"/>
        <v>16114.01999999999</v>
      </c>
      <c r="BJ149" s="225">
        <f t="shared" si="67"/>
        <v>-2730</v>
      </c>
      <c r="BK149" s="225">
        <f t="shared" si="68"/>
        <v>-89.494736842105283</v>
      </c>
      <c r="BL149" s="225">
        <f t="shared" si="69"/>
        <v>0</v>
      </c>
      <c r="BM149" s="225">
        <f t="shared" si="70"/>
        <v>863.06999999999982</v>
      </c>
      <c r="BN149" s="225">
        <f t="shared" si="92"/>
        <v>14157.595263157884</v>
      </c>
      <c r="BO149" s="225">
        <f t="shared" si="71"/>
        <v>0</v>
      </c>
      <c r="BP149" s="225"/>
      <c r="BQ149" s="225"/>
      <c r="BR149" s="225"/>
      <c r="BS149" s="225"/>
      <c r="BT149" s="225"/>
      <c r="BU149" s="225"/>
      <c r="BV149" s="225"/>
      <c r="BW149" s="225"/>
      <c r="BY149" s="176"/>
      <c r="BZ149" s="176"/>
      <c r="CA149" s="176"/>
      <c r="CB149" s="176"/>
      <c r="CC149" s="176"/>
      <c r="CD149" s="176"/>
      <c r="CE149" s="176"/>
      <c r="CF149" s="176"/>
      <c r="CH149" s="248"/>
      <c r="CI149" s="248"/>
      <c r="CJ149" s="248"/>
      <c r="CK149" s="248"/>
      <c r="CL149" s="248"/>
      <c r="CM149" s="248"/>
      <c r="CN149" s="248"/>
      <c r="CO149" s="248"/>
      <c r="CQ149" s="248"/>
      <c r="CR149" s="248"/>
      <c r="CS149" s="248"/>
      <c r="CT149" s="248"/>
      <c r="CU149" s="248"/>
      <c r="CV149" s="248"/>
      <c r="CW149" s="248"/>
      <c r="CX149" s="248"/>
      <c r="CY149" s="248"/>
      <c r="DA149" s="248"/>
      <c r="DB149" s="248"/>
      <c r="DC149" s="248"/>
      <c r="DD149" s="248"/>
      <c r="DE149" s="248"/>
      <c r="DF149" s="248"/>
      <c r="DG149" s="248"/>
      <c r="DH149" s="248"/>
      <c r="DJ149" s="179" t="e">
        <f>#REF!+((SUMIFS($F149:$AM149,$F$3:$AM$3,$DJ$7)*80%))+SUMIFS(#REF!,#REF!,$DJ$7)</f>
        <v>#REF!</v>
      </c>
      <c r="DK149" s="179">
        <f t="shared" si="72"/>
        <v>0</v>
      </c>
      <c r="DL149" s="173" t="e">
        <f t="shared" si="93"/>
        <v>#REF!</v>
      </c>
    </row>
    <row r="150" spans="1:116">
      <c r="A150" s="168">
        <v>2221</v>
      </c>
      <c r="B150" s="2">
        <v>150894</v>
      </c>
      <c r="C150" s="2" t="s">
        <v>351</v>
      </c>
      <c r="D150" s="30"/>
      <c r="E150" s="226"/>
      <c r="F150" s="176">
        <v>0</v>
      </c>
      <c r="G150" s="176">
        <v>0</v>
      </c>
      <c r="H150" s="176">
        <v>50770.200000000004</v>
      </c>
      <c r="I150" s="176">
        <v>3120</v>
      </c>
      <c r="J150" s="176">
        <v>0</v>
      </c>
      <c r="K150" s="176">
        <v>0</v>
      </c>
      <c r="L150" s="30">
        <f t="shared" si="73"/>
        <v>53890.200000000004</v>
      </c>
      <c r="M150" s="176">
        <f t="shared" si="74"/>
        <v>43112.160000000003</v>
      </c>
      <c r="N150" s="226"/>
      <c r="O150" s="176">
        <v>0</v>
      </c>
      <c r="P150" s="176">
        <v>0</v>
      </c>
      <c r="Q150" s="176">
        <v>35318.400000000001</v>
      </c>
      <c r="R150" s="176">
        <v>2340</v>
      </c>
      <c r="S150" s="176">
        <v>0</v>
      </c>
      <c r="T150" s="176">
        <v>0</v>
      </c>
      <c r="U150" s="176">
        <f t="shared" si="75"/>
        <v>37658.400000000001</v>
      </c>
      <c r="V150" s="176">
        <f t="shared" si="76"/>
        <v>30126.720000000001</v>
      </c>
      <c r="W150" s="226"/>
      <c r="X150" s="247"/>
      <c r="Y150" s="176">
        <v>0</v>
      </c>
      <c r="Z150" s="176">
        <v>40537.515789473684</v>
      </c>
      <c r="AA150" s="176">
        <v>2444.2105263157891</v>
      </c>
      <c r="AB150" s="176">
        <v>0</v>
      </c>
      <c r="AC150" s="176">
        <v>0</v>
      </c>
      <c r="AD150" s="176">
        <f t="shared" si="77"/>
        <v>42981.72631578947</v>
      </c>
      <c r="AE150" s="247">
        <f t="shared" si="78"/>
        <v>34385.381052631579</v>
      </c>
      <c r="AF150" s="226"/>
      <c r="AG150" s="247">
        <v>670.80000000000007</v>
      </c>
      <c r="AH150" s="247">
        <v>477.75</v>
      </c>
      <c r="AI150" s="247">
        <v>543.97894736842113</v>
      </c>
      <c r="AJ150" s="226"/>
      <c r="AK150" s="247">
        <f t="shared" si="79"/>
        <v>536.6400000000001</v>
      </c>
      <c r="AL150" s="247">
        <f t="shared" si="80"/>
        <v>382.20000000000005</v>
      </c>
      <c r="AM150" s="247">
        <f t="shared" si="81"/>
        <v>435.18315789473695</v>
      </c>
      <c r="AN150" s="225"/>
      <c r="AO150" s="225">
        <v>0</v>
      </c>
      <c r="AP150" s="225">
        <v>0</v>
      </c>
      <c r="AQ150" s="225">
        <v>47459.1</v>
      </c>
      <c r="AR150" s="225">
        <v>0</v>
      </c>
      <c r="AS150" s="225">
        <v>0</v>
      </c>
      <c r="AT150" s="225">
        <v>0</v>
      </c>
      <c r="AU150" s="225">
        <v>633.74999999999989</v>
      </c>
      <c r="AV150" s="225">
        <f t="shared" si="82"/>
        <v>48092.85</v>
      </c>
      <c r="AX150" s="225">
        <f t="shared" si="83"/>
        <v>0</v>
      </c>
      <c r="AY150" s="225">
        <f t="shared" si="84"/>
        <v>0</v>
      </c>
      <c r="AZ150" s="225">
        <f t="shared" si="85"/>
        <v>-3311.1000000000058</v>
      </c>
      <c r="BA150" s="225">
        <f t="shared" si="86"/>
        <v>-3120</v>
      </c>
      <c r="BB150" s="225">
        <f t="shared" si="87"/>
        <v>0</v>
      </c>
      <c r="BC150" s="225">
        <f t="shared" si="88"/>
        <v>0</v>
      </c>
      <c r="BD150" s="225">
        <f t="shared" si="89"/>
        <v>-37.050000000000182</v>
      </c>
      <c r="BE150" s="225">
        <f t="shared" si="90"/>
        <v>-6468.150000000006</v>
      </c>
      <c r="BF150" s="225">
        <f t="shared" si="91"/>
        <v>0</v>
      </c>
      <c r="BG150" s="225">
        <f t="shared" si="64"/>
        <v>0</v>
      </c>
      <c r="BH150" s="225">
        <f t="shared" si="65"/>
        <v>0</v>
      </c>
      <c r="BI150" s="225">
        <f t="shared" si="66"/>
        <v>6842.9399999999951</v>
      </c>
      <c r="BJ150" s="225">
        <f t="shared" si="67"/>
        <v>-2496</v>
      </c>
      <c r="BK150" s="225">
        <f t="shared" si="68"/>
        <v>0</v>
      </c>
      <c r="BL150" s="225">
        <f t="shared" si="69"/>
        <v>0</v>
      </c>
      <c r="BM150" s="225">
        <f t="shared" si="70"/>
        <v>97.109999999999786</v>
      </c>
      <c r="BN150" s="225">
        <f t="shared" si="92"/>
        <v>4444.0499999999947</v>
      </c>
      <c r="BO150" s="225">
        <f t="shared" si="71"/>
        <v>0</v>
      </c>
      <c r="BP150" s="225"/>
      <c r="BQ150" s="225"/>
      <c r="BR150" s="225"/>
      <c r="BS150" s="225"/>
      <c r="BT150" s="225"/>
      <c r="BU150" s="225"/>
      <c r="BV150" s="225"/>
      <c r="BW150" s="225"/>
      <c r="BY150" s="176"/>
      <c r="BZ150" s="176"/>
      <c r="CA150" s="176"/>
      <c r="CB150" s="176"/>
      <c r="CC150" s="176"/>
      <c r="CD150" s="176"/>
      <c r="CE150" s="176"/>
      <c r="CF150" s="176"/>
      <c r="CH150" s="248"/>
      <c r="CI150" s="248"/>
      <c r="CJ150" s="248"/>
      <c r="CK150" s="248"/>
      <c r="CL150" s="248"/>
      <c r="CM150" s="248"/>
      <c r="CN150" s="248"/>
      <c r="CO150" s="248"/>
      <c r="CQ150" s="248"/>
      <c r="CR150" s="248"/>
      <c r="CS150" s="248"/>
      <c r="CT150" s="248"/>
      <c r="CU150" s="248"/>
      <c r="CV150" s="248"/>
      <c r="CW150" s="248"/>
      <c r="CX150" s="248"/>
      <c r="CY150" s="248"/>
      <c r="DA150" s="248"/>
      <c r="DB150" s="248"/>
      <c r="DC150" s="248"/>
      <c r="DD150" s="248"/>
      <c r="DE150" s="248"/>
      <c r="DF150" s="248"/>
      <c r="DG150" s="248"/>
      <c r="DH150" s="248"/>
      <c r="DJ150" s="179" t="e">
        <f>#REF!+((SUMIFS($F150:$AM150,$F$3:$AM$3,$DJ$7)*80%))+SUMIFS(#REF!,#REF!,$DJ$7)</f>
        <v>#REF!</v>
      </c>
      <c r="DK150" s="179">
        <f t="shared" si="72"/>
        <v>0</v>
      </c>
      <c r="DL150" s="173" t="e">
        <f t="shared" si="93"/>
        <v>#REF!</v>
      </c>
    </row>
    <row r="151" spans="1:116">
      <c r="A151" s="168">
        <v>2105</v>
      </c>
      <c r="B151" s="2">
        <v>139128</v>
      </c>
      <c r="C151" s="2" t="s">
        <v>352</v>
      </c>
      <c r="D151" s="30"/>
      <c r="E151" s="226"/>
      <c r="F151" s="176">
        <v>0</v>
      </c>
      <c r="G151" s="176">
        <v>0</v>
      </c>
      <c r="H151" s="176">
        <v>0</v>
      </c>
      <c r="I151" s="176">
        <v>0</v>
      </c>
      <c r="J151" s="176">
        <v>0</v>
      </c>
      <c r="K151" s="176">
        <v>0</v>
      </c>
      <c r="L151" s="30">
        <f t="shared" si="73"/>
        <v>0</v>
      </c>
      <c r="M151" s="176">
        <f t="shared" si="74"/>
        <v>0</v>
      </c>
      <c r="N151" s="226"/>
      <c r="O151" s="176">
        <v>0</v>
      </c>
      <c r="P151" s="176">
        <v>0</v>
      </c>
      <c r="Q151" s="176">
        <v>0</v>
      </c>
      <c r="R151" s="176">
        <v>0</v>
      </c>
      <c r="S151" s="176">
        <v>0</v>
      </c>
      <c r="T151" s="176">
        <v>0</v>
      </c>
      <c r="U151" s="176">
        <f t="shared" si="75"/>
        <v>0</v>
      </c>
      <c r="V151" s="176">
        <f t="shared" si="76"/>
        <v>0</v>
      </c>
      <c r="W151" s="226"/>
      <c r="X151" s="247"/>
      <c r="Y151" s="176">
        <v>0</v>
      </c>
      <c r="Z151" s="176">
        <v>0</v>
      </c>
      <c r="AA151" s="176">
        <v>0</v>
      </c>
      <c r="AB151" s="176">
        <v>0</v>
      </c>
      <c r="AC151" s="176">
        <v>0</v>
      </c>
      <c r="AD151" s="176">
        <f t="shared" si="77"/>
        <v>0</v>
      </c>
      <c r="AE151" s="247">
        <f t="shared" si="78"/>
        <v>0</v>
      </c>
      <c r="AF151" s="226"/>
      <c r="AG151" s="247">
        <v>0</v>
      </c>
      <c r="AH151" s="247">
        <v>0</v>
      </c>
      <c r="AI151" s="247">
        <v>0</v>
      </c>
      <c r="AJ151" s="226"/>
      <c r="AK151" s="247">
        <f t="shared" si="79"/>
        <v>0</v>
      </c>
      <c r="AL151" s="247">
        <f t="shared" si="80"/>
        <v>0</v>
      </c>
      <c r="AM151" s="247">
        <f t="shared" si="81"/>
        <v>0</v>
      </c>
      <c r="AN151" s="225"/>
      <c r="AO151" s="225">
        <v>0</v>
      </c>
      <c r="AP151" s="225">
        <v>0</v>
      </c>
      <c r="AQ151" s="225">
        <v>0</v>
      </c>
      <c r="AR151" s="225">
        <v>0</v>
      </c>
      <c r="AS151" s="225">
        <v>0</v>
      </c>
      <c r="AT151" s="225">
        <v>0</v>
      </c>
      <c r="AU151" s="225">
        <v>0</v>
      </c>
      <c r="AV151" s="225">
        <f t="shared" si="82"/>
        <v>0</v>
      </c>
      <c r="AX151" s="225">
        <f t="shared" si="83"/>
        <v>0</v>
      </c>
      <c r="AY151" s="225">
        <f t="shared" si="84"/>
        <v>0</v>
      </c>
      <c r="AZ151" s="225">
        <f t="shared" si="85"/>
        <v>0</v>
      </c>
      <c r="BA151" s="225">
        <f t="shared" si="86"/>
        <v>0</v>
      </c>
      <c r="BB151" s="225">
        <f t="shared" si="87"/>
        <v>0</v>
      </c>
      <c r="BC151" s="225">
        <f t="shared" si="88"/>
        <v>0</v>
      </c>
      <c r="BD151" s="225">
        <f t="shared" si="89"/>
        <v>0</v>
      </c>
      <c r="BE151" s="225">
        <f t="shared" si="90"/>
        <v>0</v>
      </c>
      <c r="BF151" s="225">
        <f t="shared" si="91"/>
        <v>0</v>
      </c>
      <c r="BG151" s="225">
        <f t="shared" si="64"/>
        <v>0</v>
      </c>
      <c r="BH151" s="225">
        <f t="shared" si="65"/>
        <v>0</v>
      </c>
      <c r="BI151" s="225">
        <f t="shared" si="66"/>
        <v>0</v>
      </c>
      <c r="BJ151" s="225">
        <f t="shared" si="67"/>
        <v>0</v>
      </c>
      <c r="BK151" s="225">
        <f t="shared" si="68"/>
        <v>0</v>
      </c>
      <c r="BL151" s="225">
        <f t="shared" si="69"/>
        <v>0</v>
      </c>
      <c r="BM151" s="225">
        <f t="shared" si="70"/>
        <v>0</v>
      </c>
      <c r="BN151" s="225">
        <f t="shared" si="92"/>
        <v>0</v>
      </c>
      <c r="BO151" s="225">
        <f t="shared" si="71"/>
        <v>0</v>
      </c>
      <c r="BP151" s="225"/>
      <c r="BQ151" s="225"/>
      <c r="BR151" s="225"/>
      <c r="BS151" s="225"/>
      <c r="BT151" s="225"/>
      <c r="BU151" s="225"/>
      <c r="BV151" s="225"/>
      <c r="BW151" s="225"/>
      <c r="BY151" s="176"/>
      <c r="BZ151" s="176"/>
      <c r="CA151" s="176"/>
      <c r="CB151" s="176"/>
      <c r="CC151" s="176"/>
      <c r="CD151" s="176"/>
      <c r="CE151" s="176"/>
      <c r="CF151" s="176"/>
      <c r="CH151" s="248"/>
      <c r="CI151" s="248"/>
      <c r="CJ151" s="248"/>
      <c r="CK151" s="248"/>
      <c r="CL151" s="248"/>
      <c r="CM151" s="248"/>
      <c r="CN151" s="248"/>
      <c r="CO151" s="248"/>
      <c r="CQ151" s="248"/>
      <c r="CR151" s="248"/>
      <c r="CS151" s="248"/>
      <c r="CT151" s="248"/>
      <c r="CU151" s="248"/>
      <c r="CV151" s="248"/>
      <c r="CW151" s="248"/>
      <c r="CX151" s="248"/>
      <c r="CY151" s="248"/>
      <c r="DA151" s="248"/>
      <c r="DB151" s="248"/>
      <c r="DC151" s="248"/>
      <c r="DD151" s="248"/>
      <c r="DE151" s="248"/>
      <c r="DF151" s="248"/>
      <c r="DG151" s="248"/>
      <c r="DH151" s="248"/>
      <c r="DJ151" s="179" t="e">
        <f>#REF!+((SUMIFS($F151:$AM151,$F$3:$AM$3,$DJ$7)*80%))+SUMIFS(#REF!,#REF!,$DJ$7)</f>
        <v>#REF!</v>
      </c>
      <c r="DK151" s="179">
        <f t="shared" si="72"/>
        <v>0</v>
      </c>
      <c r="DL151" s="173" t="e">
        <f t="shared" si="93"/>
        <v>#REF!</v>
      </c>
    </row>
    <row r="152" spans="1:116">
      <c r="A152" s="168">
        <v>2206</v>
      </c>
      <c r="B152" s="2">
        <v>147758</v>
      </c>
      <c r="C152" s="2" t="s">
        <v>353</v>
      </c>
      <c r="D152" s="30"/>
      <c r="E152" s="226"/>
      <c r="F152" s="176">
        <v>0</v>
      </c>
      <c r="G152" s="176">
        <v>0</v>
      </c>
      <c r="H152" s="176">
        <v>0</v>
      </c>
      <c r="I152" s="176">
        <v>0</v>
      </c>
      <c r="J152" s="176">
        <v>0</v>
      </c>
      <c r="K152" s="176">
        <v>0</v>
      </c>
      <c r="L152" s="30">
        <f t="shared" si="73"/>
        <v>0</v>
      </c>
      <c r="M152" s="176">
        <f t="shared" si="74"/>
        <v>0</v>
      </c>
      <c r="N152" s="226"/>
      <c r="O152" s="176">
        <v>0</v>
      </c>
      <c r="P152" s="176">
        <v>0</v>
      </c>
      <c r="Q152" s="176">
        <v>0</v>
      </c>
      <c r="R152" s="176">
        <v>0</v>
      </c>
      <c r="S152" s="176">
        <v>0</v>
      </c>
      <c r="T152" s="176">
        <v>0</v>
      </c>
      <c r="U152" s="176">
        <f t="shared" si="75"/>
        <v>0</v>
      </c>
      <c r="V152" s="176">
        <f t="shared" si="76"/>
        <v>0</v>
      </c>
      <c r="W152" s="226"/>
      <c r="X152" s="247"/>
      <c r="Y152" s="176">
        <v>0</v>
      </c>
      <c r="Z152" s="176">
        <v>0</v>
      </c>
      <c r="AA152" s="176">
        <v>0</v>
      </c>
      <c r="AB152" s="176">
        <v>0</v>
      </c>
      <c r="AC152" s="176">
        <v>0</v>
      </c>
      <c r="AD152" s="176">
        <f t="shared" si="77"/>
        <v>0</v>
      </c>
      <c r="AE152" s="247">
        <f t="shared" si="78"/>
        <v>0</v>
      </c>
      <c r="AF152" s="226"/>
      <c r="AG152" s="247">
        <v>0</v>
      </c>
      <c r="AH152" s="247">
        <v>0</v>
      </c>
      <c r="AI152" s="247">
        <v>0</v>
      </c>
      <c r="AJ152" s="226"/>
      <c r="AK152" s="247">
        <f t="shared" si="79"/>
        <v>0</v>
      </c>
      <c r="AL152" s="247">
        <f t="shared" si="80"/>
        <v>0</v>
      </c>
      <c r="AM152" s="247">
        <f t="shared" si="81"/>
        <v>0</v>
      </c>
      <c r="AN152" s="225"/>
      <c r="AO152" s="225">
        <v>0</v>
      </c>
      <c r="AP152" s="225">
        <v>0</v>
      </c>
      <c r="AQ152" s="225">
        <v>0</v>
      </c>
      <c r="AR152" s="225">
        <v>0</v>
      </c>
      <c r="AS152" s="225">
        <v>0</v>
      </c>
      <c r="AT152" s="225">
        <v>0</v>
      </c>
      <c r="AU152" s="225">
        <v>0</v>
      </c>
      <c r="AV152" s="225">
        <f t="shared" si="82"/>
        <v>0</v>
      </c>
      <c r="AX152" s="225">
        <f t="shared" si="83"/>
        <v>0</v>
      </c>
      <c r="AY152" s="225">
        <f t="shared" si="84"/>
        <v>0</v>
      </c>
      <c r="AZ152" s="225">
        <f t="shared" si="85"/>
        <v>0</v>
      </c>
      <c r="BA152" s="225">
        <f t="shared" si="86"/>
        <v>0</v>
      </c>
      <c r="BB152" s="225">
        <f t="shared" si="87"/>
        <v>0</v>
      </c>
      <c r="BC152" s="225">
        <f t="shared" si="88"/>
        <v>0</v>
      </c>
      <c r="BD152" s="225">
        <f t="shared" si="89"/>
        <v>0</v>
      </c>
      <c r="BE152" s="225">
        <f t="shared" si="90"/>
        <v>0</v>
      </c>
      <c r="BF152" s="225">
        <f t="shared" si="91"/>
        <v>0</v>
      </c>
      <c r="BG152" s="225">
        <f t="shared" si="64"/>
        <v>0</v>
      </c>
      <c r="BH152" s="225">
        <f t="shared" si="65"/>
        <v>0</v>
      </c>
      <c r="BI152" s="225">
        <f t="shared" si="66"/>
        <v>0</v>
      </c>
      <c r="BJ152" s="225">
        <f t="shared" si="67"/>
        <v>0</v>
      </c>
      <c r="BK152" s="225">
        <f t="shared" si="68"/>
        <v>0</v>
      </c>
      <c r="BL152" s="225">
        <f t="shared" si="69"/>
        <v>0</v>
      </c>
      <c r="BM152" s="225">
        <f t="shared" si="70"/>
        <v>0</v>
      </c>
      <c r="BN152" s="225">
        <f t="shared" si="92"/>
        <v>0</v>
      </c>
      <c r="BO152" s="225">
        <f t="shared" si="71"/>
        <v>0</v>
      </c>
      <c r="BP152" s="225"/>
      <c r="BQ152" s="225"/>
      <c r="BR152" s="225"/>
      <c r="BS152" s="225"/>
      <c r="BT152" s="225"/>
      <c r="BU152" s="225"/>
      <c r="BV152" s="225"/>
      <c r="BW152" s="225"/>
      <c r="BY152" s="176"/>
      <c r="BZ152" s="176"/>
      <c r="CA152" s="176"/>
      <c r="CB152" s="176"/>
      <c r="CC152" s="176"/>
      <c r="CD152" s="176"/>
      <c r="CE152" s="176"/>
      <c r="CF152" s="176"/>
      <c r="CH152" s="248"/>
      <c r="CI152" s="248"/>
      <c r="CJ152" s="248"/>
      <c r="CK152" s="248"/>
      <c r="CL152" s="248"/>
      <c r="CM152" s="248"/>
      <c r="CN152" s="248"/>
      <c r="CO152" s="248"/>
      <c r="CQ152" s="248"/>
      <c r="CR152" s="248"/>
      <c r="CS152" s="248"/>
      <c r="CT152" s="248"/>
      <c r="CU152" s="248"/>
      <c r="CV152" s="248"/>
      <c r="CW152" s="248"/>
      <c r="CX152" s="248"/>
      <c r="CY152" s="248"/>
      <c r="DA152" s="248"/>
      <c r="DB152" s="248"/>
      <c r="DC152" s="248"/>
      <c r="DD152" s="248"/>
      <c r="DE152" s="248"/>
      <c r="DF152" s="248"/>
      <c r="DG152" s="248"/>
      <c r="DH152" s="248"/>
      <c r="DJ152" s="179" t="e">
        <f>#REF!+((SUMIFS($F152:$AM152,$F$3:$AM$3,$DJ$7)*80%))+SUMIFS(#REF!,#REF!,$DJ$7)</f>
        <v>#REF!</v>
      </c>
      <c r="DK152" s="179">
        <f t="shared" si="72"/>
        <v>0</v>
      </c>
      <c r="DL152" s="173" t="e">
        <f t="shared" si="93"/>
        <v>#REF!</v>
      </c>
    </row>
    <row r="153" spans="1:116">
      <c r="A153" s="168">
        <v>3374</v>
      </c>
      <c r="B153" s="2">
        <v>141484</v>
      </c>
      <c r="C153" s="2" t="s">
        <v>354</v>
      </c>
      <c r="D153" s="30"/>
      <c r="E153" s="226"/>
      <c r="F153" s="176">
        <v>0</v>
      </c>
      <c r="G153" s="176">
        <v>0</v>
      </c>
      <c r="H153" s="176">
        <v>0</v>
      </c>
      <c r="I153" s="176">
        <v>0</v>
      </c>
      <c r="J153" s="176">
        <v>0</v>
      </c>
      <c r="K153" s="176">
        <v>0</v>
      </c>
      <c r="L153" s="30">
        <f t="shared" si="73"/>
        <v>0</v>
      </c>
      <c r="M153" s="176">
        <f t="shared" si="74"/>
        <v>0</v>
      </c>
      <c r="N153" s="226"/>
      <c r="O153" s="176">
        <v>0</v>
      </c>
      <c r="P153" s="176">
        <v>0</v>
      </c>
      <c r="Q153" s="176">
        <v>0</v>
      </c>
      <c r="R153" s="176">
        <v>0</v>
      </c>
      <c r="S153" s="176">
        <v>0</v>
      </c>
      <c r="T153" s="176">
        <v>0</v>
      </c>
      <c r="U153" s="176">
        <f t="shared" si="75"/>
        <v>0</v>
      </c>
      <c r="V153" s="176">
        <f t="shared" si="76"/>
        <v>0</v>
      </c>
      <c r="W153" s="226"/>
      <c r="X153" s="247"/>
      <c r="Y153" s="176">
        <v>0</v>
      </c>
      <c r="Z153" s="176">
        <v>0</v>
      </c>
      <c r="AA153" s="176">
        <v>0</v>
      </c>
      <c r="AB153" s="176">
        <v>0</v>
      </c>
      <c r="AC153" s="176">
        <v>0</v>
      </c>
      <c r="AD153" s="176">
        <f t="shared" si="77"/>
        <v>0</v>
      </c>
      <c r="AE153" s="247">
        <f t="shared" si="78"/>
        <v>0</v>
      </c>
      <c r="AF153" s="226"/>
      <c r="AG153" s="247">
        <v>0</v>
      </c>
      <c r="AH153" s="247">
        <v>0</v>
      </c>
      <c r="AI153" s="247">
        <v>0</v>
      </c>
      <c r="AJ153" s="226"/>
      <c r="AK153" s="247">
        <f t="shared" si="79"/>
        <v>0</v>
      </c>
      <c r="AL153" s="247">
        <f t="shared" si="80"/>
        <v>0</v>
      </c>
      <c r="AM153" s="247">
        <f t="shared" si="81"/>
        <v>0</v>
      </c>
      <c r="AN153" s="225"/>
      <c r="AO153" s="225">
        <v>0</v>
      </c>
      <c r="AP153" s="225">
        <v>0</v>
      </c>
      <c r="AQ153" s="225">
        <v>0</v>
      </c>
      <c r="AR153" s="225">
        <v>0</v>
      </c>
      <c r="AS153" s="225">
        <v>0</v>
      </c>
      <c r="AT153" s="225">
        <v>0</v>
      </c>
      <c r="AU153" s="225">
        <v>0</v>
      </c>
      <c r="AV153" s="225">
        <f t="shared" si="82"/>
        <v>0</v>
      </c>
      <c r="AX153" s="225">
        <f t="shared" si="83"/>
        <v>0</v>
      </c>
      <c r="AY153" s="225">
        <f t="shared" si="84"/>
        <v>0</v>
      </c>
      <c r="AZ153" s="225">
        <f t="shared" si="85"/>
        <v>0</v>
      </c>
      <c r="BA153" s="225">
        <f t="shared" si="86"/>
        <v>0</v>
      </c>
      <c r="BB153" s="225">
        <f t="shared" si="87"/>
        <v>0</v>
      </c>
      <c r="BC153" s="225">
        <f t="shared" si="88"/>
        <v>0</v>
      </c>
      <c r="BD153" s="225">
        <f t="shared" si="89"/>
        <v>0</v>
      </c>
      <c r="BE153" s="225">
        <f t="shared" si="90"/>
        <v>0</v>
      </c>
      <c r="BF153" s="225">
        <f t="shared" si="91"/>
        <v>0</v>
      </c>
      <c r="BG153" s="225">
        <f t="shared" si="64"/>
        <v>0</v>
      </c>
      <c r="BH153" s="225">
        <f t="shared" si="65"/>
        <v>0</v>
      </c>
      <c r="BI153" s="225">
        <f t="shared" si="66"/>
        <v>0</v>
      </c>
      <c r="BJ153" s="225">
        <f t="shared" si="67"/>
        <v>0</v>
      </c>
      <c r="BK153" s="225">
        <f t="shared" si="68"/>
        <v>0</v>
      </c>
      <c r="BL153" s="225">
        <f t="shared" si="69"/>
        <v>0</v>
      </c>
      <c r="BM153" s="225">
        <f t="shared" si="70"/>
        <v>0</v>
      </c>
      <c r="BN153" s="225">
        <f t="shared" si="92"/>
        <v>0</v>
      </c>
      <c r="BO153" s="225">
        <f t="shared" si="71"/>
        <v>0</v>
      </c>
      <c r="BP153" s="225"/>
      <c r="BQ153" s="225"/>
      <c r="BR153" s="225"/>
      <c r="BS153" s="225"/>
      <c r="BT153" s="225"/>
      <c r="BU153" s="225"/>
      <c r="BV153" s="225"/>
      <c r="BW153" s="225"/>
      <c r="BY153" s="176"/>
      <c r="BZ153" s="176"/>
      <c r="CA153" s="176"/>
      <c r="CB153" s="176"/>
      <c r="CC153" s="176"/>
      <c r="CD153" s="176"/>
      <c r="CE153" s="176"/>
      <c r="CF153" s="176"/>
      <c r="CH153" s="248"/>
      <c r="CI153" s="248"/>
      <c r="CJ153" s="248"/>
      <c r="CK153" s="248"/>
      <c r="CL153" s="248"/>
      <c r="CM153" s="248"/>
      <c r="CN153" s="248"/>
      <c r="CO153" s="248"/>
      <c r="CQ153" s="248"/>
      <c r="CR153" s="248"/>
      <c r="CS153" s="248"/>
      <c r="CT153" s="248"/>
      <c r="CU153" s="248"/>
      <c r="CV153" s="248"/>
      <c r="CW153" s="248"/>
      <c r="CX153" s="248"/>
      <c r="CY153" s="248"/>
      <c r="DA153" s="248"/>
      <c r="DB153" s="248"/>
      <c r="DC153" s="248"/>
      <c r="DD153" s="248"/>
      <c r="DE153" s="248"/>
      <c r="DF153" s="248"/>
      <c r="DG153" s="248"/>
      <c r="DH153" s="248"/>
      <c r="DJ153" s="179" t="e">
        <f>#REF!+((SUMIFS($F153:$AM153,$F$3:$AM$3,$DJ$7)*80%))+SUMIFS(#REF!,#REF!,$DJ$7)</f>
        <v>#REF!</v>
      </c>
      <c r="DK153" s="179">
        <f t="shared" si="72"/>
        <v>0</v>
      </c>
      <c r="DL153" s="173" t="e">
        <f t="shared" si="93"/>
        <v>#REF!</v>
      </c>
    </row>
    <row r="154" spans="1:116">
      <c r="A154" s="168">
        <v>3357</v>
      </c>
      <c r="B154" s="2">
        <v>148082</v>
      </c>
      <c r="C154" s="2" t="s">
        <v>355</v>
      </c>
      <c r="D154" s="30"/>
      <c r="E154" s="226"/>
      <c r="F154" s="176">
        <v>0</v>
      </c>
      <c r="G154" s="176">
        <v>0</v>
      </c>
      <c r="H154" s="176">
        <v>0</v>
      </c>
      <c r="I154" s="176">
        <v>0</v>
      </c>
      <c r="J154" s="176">
        <v>0</v>
      </c>
      <c r="K154" s="176">
        <v>0</v>
      </c>
      <c r="L154" s="30">
        <f t="shared" si="73"/>
        <v>0</v>
      </c>
      <c r="M154" s="176">
        <f t="shared" si="74"/>
        <v>0</v>
      </c>
      <c r="N154" s="226"/>
      <c r="O154" s="176">
        <v>0</v>
      </c>
      <c r="P154" s="176">
        <v>0</v>
      </c>
      <c r="Q154" s="176">
        <v>0</v>
      </c>
      <c r="R154" s="176">
        <v>0</v>
      </c>
      <c r="S154" s="176">
        <v>0</v>
      </c>
      <c r="T154" s="176">
        <v>0</v>
      </c>
      <c r="U154" s="176">
        <f t="shared" si="75"/>
        <v>0</v>
      </c>
      <c r="V154" s="176">
        <f t="shared" si="76"/>
        <v>0</v>
      </c>
      <c r="W154" s="226"/>
      <c r="X154" s="247"/>
      <c r="Y154" s="176">
        <v>0</v>
      </c>
      <c r="Z154" s="176">
        <v>0</v>
      </c>
      <c r="AA154" s="176">
        <v>0</v>
      </c>
      <c r="AB154" s="176">
        <v>0</v>
      </c>
      <c r="AC154" s="176">
        <v>0</v>
      </c>
      <c r="AD154" s="176">
        <f t="shared" si="77"/>
        <v>0</v>
      </c>
      <c r="AE154" s="247">
        <f t="shared" si="78"/>
        <v>0</v>
      </c>
      <c r="AF154" s="226"/>
      <c r="AG154" s="247">
        <v>0</v>
      </c>
      <c r="AH154" s="247">
        <v>0</v>
      </c>
      <c r="AI154" s="247">
        <v>0</v>
      </c>
      <c r="AJ154" s="226"/>
      <c r="AK154" s="247">
        <f t="shared" si="79"/>
        <v>0</v>
      </c>
      <c r="AL154" s="247">
        <f t="shared" si="80"/>
        <v>0</v>
      </c>
      <c r="AM154" s="247">
        <f t="shared" si="81"/>
        <v>0</v>
      </c>
      <c r="AN154" s="225"/>
      <c r="AO154" s="225">
        <v>0</v>
      </c>
      <c r="AP154" s="225">
        <v>0</v>
      </c>
      <c r="AQ154" s="225">
        <v>0</v>
      </c>
      <c r="AR154" s="225">
        <v>0</v>
      </c>
      <c r="AS154" s="225">
        <v>0</v>
      </c>
      <c r="AT154" s="225">
        <v>0</v>
      </c>
      <c r="AU154" s="225">
        <v>0</v>
      </c>
      <c r="AV154" s="225">
        <f t="shared" si="82"/>
        <v>0</v>
      </c>
      <c r="AX154" s="225">
        <f t="shared" si="83"/>
        <v>0</v>
      </c>
      <c r="AY154" s="225">
        <f t="shared" si="84"/>
        <v>0</v>
      </c>
      <c r="AZ154" s="225">
        <f t="shared" si="85"/>
        <v>0</v>
      </c>
      <c r="BA154" s="225">
        <f t="shared" si="86"/>
        <v>0</v>
      </c>
      <c r="BB154" s="225">
        <f t="shared" si="87"/>
        <v>0</v>
      </c>
      <c r="BC154" s="225">
        <f t="shared" si="88"/>
        <v>0</v>
      </c>
      <c r="BD154" s="225">
        <f t="shared" si="89"/>
        <v>0</v>
      </c>
      <c r="BE154" s="225">
        <f t="shared" si="90"/>
        <v>0</v>
      </c>
      <c r="BF154" s="225">
        <f t="shared" si="91"/>
        <v>0</v>
      </c>
      <c r="BG154" s="225">
        <f t="shared" si="64"/>
        <v>0</v>
      </c>
      <c r="BH154" s="225">
        <f t="shared" si="65"/>
        <v>0</v>
      </c>
      <c r="BI154" s="225">
        <f t="shared" si="66"/>
        <v>0</v>
      </c>
      <c r="BJ154" s="225">
        <f t="shared" si="67"/>
        <v>0</v>
      </c>
      <c r="BK154" s="225">
        <f t="shared" si="68"/>
        <v>0</v>
      </c>
      <c r="BL154" s="225">
        <f t="shared" si="69"/>
        <v>0</v>
      </c>
      <c r="BM154" s="225">
        <f t="shared" si="70"/>
        <v>0</v>
      </c>
      <c r="BN154" s="225">
        <f t="shared" si="92"/>
        <v>0</v>
      </c>
      <c r="BO154" s="225">
        <f t="shared" si="71"/>
        <v>0</v>
      </c>
      <c r="BP154" s="225"/>
      <c r="BQ154" s="225"/>
      <c r="BR154" s="225"/>
      <c r="BS154" s="225"/>
      <c r="BT154" s="225"/>
      <c r="BU154" s="225"/>
      <c r="BV154" s="225"/>
      <c r="BW154" s="225"/>
      <c r="BY154" s="176"/>
      <c r="BZ154" s="176"/>
      <c r="CA154" s="176"/>
      <c r="CB154" s="176"/>
      <c r="CC154" s="176"/>
      <c r="CD154" s="176"/>
      <c r="CE154" s="176"/>
      <c r="CF154" s="176"/>
      <c r="CH154" s="248"/>
      <c r="CI154" s="248"/>
      <c r="CJ154" s="248"/>
      <c r="CK154" s="248"/>
      <c r="CL154" s="248"/>
      <c r="CM154" s="248"/>
      <c r="CN154" s="248"/>
      <c r="CO154" s="248"/>
      <c r="CQ154" s="248"/>
      <c r="CR154" s="248"/>
      <c r="CS154" s="248"/>
      <c r="CT154" s="248"/>
      <c r="CU154" s="248"/>
      <c r="CV154" s="248"/>
      <c r="CW154" s="248"/>
      <c r="CX154" s="248"/>
      <c r="CY154" s="248"/>
      <c r="DA154" s="248"/>
      <c r="DB154" s="248"/>
      <c r="DC154" s="248"/>
      <c r="DD154" s="248"/>
      <c r="DE154" s="248"/>
      <c r="DF154" s="248"/>
      <c r="DG154" s="248"/>
      <c r="DH154" s="248"/>
      <c r="DJ154" s="179" t="e">
        <f>#REF!+((SUMIFS($F154:$AM154,$F$3:$AM$3,$DJ$7)*80%))+SUMIFS(#REF!,#REF!,$DJ$7)</f>
        <v>#REF!</v>
      </c>
      <c r="DK154" s="179">
        <f t="shared" si="72"/>
        <v>0</v>
      </c>
      <c r="DL154" s="173" t="e">
        <f t="shared" si="93"/>
        <v>#REF!</v>
      </c>
    </row>
    <row r="155" spans="1:116">
      <c r="A155" s="168">
        <v>2021</v>
      </c>
      <c r="B155" s="2">
        <v>150148</v>
      </c>
      <c r="C155" s="2" t="s">
        <v>356</v>
      </c>
      <c r="D155" s="30"/>
      <c r="E155" s="226"/>
      <c r="F155" s="176">
        <v>0</v>
      </c>
      <c r="G155" s="176">
        <v>0</v>
      </c>
      <c r="H155" s="176">
        <v>28696.2</v>
      </c>
      <c r="I155" s="176">
        <v>2535</v>
      </c>
      <c r="J155" s="176">
        <v>969.52631578947376</v>
      </c>
      <c r="K155" s="176">
        <v>0</v>
      </c>
      <c r="L155" s="30">
        <f t="shared" si="73"/>
        <v>32200.726315789474</v>
      </c>
      <c r="M155" s="176">
        <f t="shared" si="74"/>
        <v>25760.58105263158</v>
      </c>
      <c r="N155" s="226"/>
      <c r="O155" s="176">
        <v>0</v>
      </c>
      <c r="P155" s="176">
        <v>0</v>
      </c>
      <c r="Q155" s="176">
        <v>24281.4</v>
      </c>
      <c r="R155" s="176">
        <v>1560</v>
      </c>
      <c r="S155" s="176">
        <v>372.89473684210526</v>
      </c>
      <c r="T155" s="176">
        <v>0</v>
      </c>
      <c r="U155" s="176">
        <f t="shared" si="75"/>
        <v>26214.294736842108</v>
      </c>
      <c r="V155" s="176">
        <f t="shared" si="76"/>
        <v>20971.43578947369</v>
      </c>
      <c r="W155" s="226"/>
      <c r="X155" s="247"/>
      <c r="Y155" s="176">
        <v>0</v>
      </c>
      <c r="Z155" s="176">
        <v>23486.021052631582</v>
      </c>
      <c r="AA155" s="176">
        <v>1875.7894736842106</v>
      </c>
      <c r="AB155" s="176">
        <v>391.3130193905817</v>
      </c>
      <c r="AC155" s="176">
        <v>0</v>
      </c>
      <c r="AD155" s="176">
        <f t="shared" si="77"/>
        <v>25753.123545706374</v>
      </c>
      <c r="AE155" s="247">
        <f t="shared" si="78"/>
        <v>20602.498836565101</v>
      </c>
      <c r="AF155" s="226"/>
      <c r="AG155" s="247">
        <v>1244.0999999999999</v>
      </c>
      <c r="AH155" s="247">
        <v>653.25</v>
      </c>
      <c r="AI155" s="247">
        <v>874.80000000000007</v>
      </c>
      <c r="AJ155" s="226"/>
      <c r="AK155" s="247">
        <f t="shared" si="79"/>
        <v>995.28</v>
      </c>
      <c r="AL155" s="247">
        <f t="shared" si="80"/>
        <v>522.6</v>
      </c>
      <c r="AM155" s="247">
        <f t="shared" si="81"/>
        <v>699.84000000000015</v>
      </c>
      <c r="AN155" s="225"/>
      <c r="AO155" s="225">
        <v>0</v>
      </c>
      <c r="AP155" s="225">
        <v>0</v>
      </c>
      <c r="AQ155" s="225">
        <v>28696.2</v>
      </c>
      <c r="AR155" s="225">
        <v>2730</v>
      </c>
      <c r="AS155" s="225">
        <v>671.21052631578948</v>
      </c>
      <c r="AT155" s="225">
        <v>0</v>
      </c>
      <c r="AU155" s="225">
        <v>998.40000000000009</v>
      </c>
      <c r="AV155" s="225">
        <f t="shared" si="82"/>
        <v>33095.810526315792</v>
      </c>
      <c r="AX155" s="225">
        <f t="shared" si="83"/>
        <v>0</v>
      </c>
      <c r="AY155" s="225">
        <f t="shared" si="84"/>
        <v>0</v>
      </c>
      <c r="AZ155" s="225">
        <f t="shared" si="85"/>
        <v>0</v>
      </c>
      <c r="BA155" s="225">
        <f t="shared" si="86"/>
        <v>195</v>
      </c>
      <c r="BB155" s="225">
        <f t="shared" si="87"/>
        <v>-298.31578947368428</v>
      </c>
      <c r="BC155" s="225">
        <f t="shared" si="88"/>
        <v>0</v>
      </c>
      <c r="BD155" s="225">
        <f t="shared" si="89"/>
        <v>-245.69999999999982</v>
      </c>
      <c r="BE155" s="225">
        <f t="shared" si="90"/>
        <v>-349.01578947368409</v>
      </c>
      <c r="BF155" s="225">
        <f t="shared" si="91"/>
        <v>0</v>
      </c>
      <c r="BG155" s="225">
        <f t="shared" si="64"/>
        <v>0</v>
      </c>
      <c r="BH155" s="225">
        <f t="shared" si="65"/>
        <v>0</v>
      </c>
      <c r="BI155" s="225">
        <f t="shared" si="66"/>
        <v>5739.239999999998</v>
      </c>
      <c r="BJ155" s="225">
        <f t="shared" si="67"/>
        <v>702</v>
      </c>
      <c r="BK155" s="225">
        <f t="shared" si="68"/>
        <v>-104.41052631578953</v>
      </c>
      <c r="BL155" s="225">
        <f t="shared" si="69"/>
        <v>0</v>
      </c>
      <c r="BM155" s="225">
        <f t="shared" si="70"/>
        <v>3.1200000000001182</v>
      </c>
      <c r="BN155" s="225">
        <f t="shared" si="92"/>
        <v>6339.949473684208</v>
      </c>
      <c r="BO155" s="225">
        <f t="shared" si="71"/>
        <v>0</v>
      </c>
      <c r="BP155" s="225"/>
      <c r="BQ155" s="225"/>
      <c r="BR155" s="225"/>
      <c r="BS155" s="225"/>
      <c r="BT155" s="225"/>
      <c r="BU155" s="225"/>
      <c r="BV155" s="225"/>
      <c r="BW155" s="225"/>
      <c r="BY155" s="176"/>
      <c r="BZ155" s="176"/>
      <c r="CA155" s="176"/>
      <c r="CB155" s="176"/>
      <c r="CC155" s="176"/>
      <c r="CD155" s="176"/>
      <c r="CE155" s="176"/>
      <c r="CF155" s="176"/>
      <c r="CH155" s="248"/>
      <c r="CI155" s="248"/>
      <c r="CJ155" s="248"/>
      <c r="CK155" s="248"/>
      <c r="CL155" s="248"/>
      <c r="CM155" s="248"/>
      <c r="CN155" s="248"/>
      <c r="CO155" s="248"/>
      <c r="CQ155" s="248"/>
      <c r="CR155" s="248"/>
      <c r="CS155" s="248"/>
      <c r="CT155" s="248"/>
      <c r="CU155" s="248"/>
      <c r="CV155" s="248"/>
      <c r="CW155" s="248"/>
      <c r="CX155" s="248"/>
      <c r="CY155" s="248"/>
      <c r="DA155" s="248"/>
      <c r="DB155" s="248"/>
      <c r="DC155" s="248"/>
      <c r="DD155" s="248"/>
      <c r="DE155" s="248"/>
      <c r="DF155" s="248"/>
      <c r="DG155" s="248"/>
      <c r="DH155" s="248"/>
      <c r="DJ155" s="179" t="e">
        <f>#REF!+((SUMIFS($F155:$AM155,$F$3:$AM$3,$DJ$7)*80%))+SUMIFS(#REF!,#REF!,$DJ$7)</f>
        <v>#REF!</v>
      </c>
      <c r="DK155" s="179">
        <f t="shared" si="72"/>
        <v>0</v>
      </c>
      <c r="DL155" s="173" t="e">
        <f t="shared" si="93"/>
        <v>#REF!</v>
      </c>
    </row>
    <row r="156" spans="1:116">
      <c r="A156" s="168">
        <v>2149</v>
      </c>
      <c r="B156" s="2">
        <v>150639</v>
      </c>
      <c r="C156" s="2" t="s">
        <v>151</v>
      </c>
      <c r="D156" s="30"/>
      <c r="E156" s="226"/>
      <c r="F156" s="176">
        <v>0</v>
      </c>
      <c r="G156" s="176">
        <v>0</v>
      </c>
      <c r="H156" s="176">
        <v>28696.2</v>
      </c>
      <c r="I156" s="176">
        <v>3510</v>
      </c>
      <c r="J156" s="176">
        <v>1342.421052631579</v>
      </c>
      <c r="K156" s="176">
        <v>0</v>
      </c>
      <c r="L156" s="30">
        <f t="shared" si="73"/>
        <v>33548.621052631577</v>
      </c>
      <c r="M156" s="176">
        <f t="shared" si="74"/>
        <v>26838.896842105263</v>
      </c>
      <c r="N156" s="226"/>
      <c r="O156" s="176">
        <v>0</v>
      </c>
      <c r="P156" s="176">
        <v>0</v>
      </c>
      <c r="Q156" s="176">
        <v>25385.100000000002</v>
      </c>
      <c r="R156" s="176">
        <v>1365</v>
      </c>
      <c r="S156" s="176">
        <v>522.0526315789474</v>
      </c>
      <c r="T156" s="176">
        <v>0</v>
      </c>
      <c r="U156" s="176">
        <f t="shared" si="75"/>
        <v>27272.152631578949</v>
      </c>
      <c r="V156" s="176">
        <f t="shared" si="76"/>
        <v>21817.722105263161</v>
      </c>
      <c r="W156" s="226"/>
      <c r="X156" s="247"/>
      <c r="Y156" s="176">
        <v>0</v>
      </c>
      <c r="Z156" s="176">
        <v>23807.747368421053</v>
      </c>
      <c r="AA156" s="176">
        <v>2387.3684210526317</v>
      </c>
      <c r="AB156" s="176">
        <v>913.06371191135736</v>
      </c>
      <c r="AC156" s="176">
        <v>0</v>
      </c>
      <c r="AD156" s="176">
        <f t="shared" si="77"/>
        <v>27108.179501385039</v>
      </c>
      <c r="AE156" s="247">
        <f t="shared" si="78"/>
        <v>21686.543601108031</v>
      </c>
      <c r="AF156" s="226"/>
      <c r="AG156" s="247">
        <v>536.25</v>
      </c>
      <c r="AH156" s="247">
        <v>206.7</v>
      </c>
      <c r="AI156" s="247">
        <v>372.88421052631577</v>
      </c>
      <c r="AJ156" s="226"/>
      <c r="AK156" s="247">
        <f t="shared" si="79"/>
        <v>429</v>
      </c>
      <c r="AL156" s="247">
        <f t="shared" si="80"/>
        <v>165.36</v>
      </c>
      <c r="AM156" s="247">
        <f t="shared" si="81"/>
        <v>298.30736842105262</v>
      </c>
      <c r="AN156" s="225"/>
      <c r="AO156" s="225">
        <v>0</v>
      </c>
      <c r="AP156" s="225">
        <v>0</v>
      </c>
      <c r="AQ156" s="225">
        <v>26488.799999999999</v>
      </c>
      <c r="AR156" s="225">
        <v>1365</v>
      </c>
      <c r="AS156" s="225">
        <v>522.0526315789474</v>
      </c>
      <c r="AT156" s="225">
        <v>0</v>
      </c>
      <c r="AU156" s="225">
        <v>391.95</v>
      </c>
      <c r="AV156" s="225">
        <f t="shared" si="82"/>
        <v>28767.802631578947</v>
      </c>
      <c r="AX156" s="225">
        <f t="shared" si="83"/>
        <v>0</v>
      </c>
      <c r="AY156" s="225">
        <f t="shared" si="84"/>
        <v>0</v>
      </c>
      <c r="AZ156" s="225">
        <f t="shared" si="85"/>
        <v>-2207.4000000000015</v>
      </c>
      <c r="BA156" s="225">
        <f t="shared" si="86"/>
        <v>-2145</v>
      </c>
      <c r="BB156" s="225">
        <f t="shared" si="87"/>
        <v>-820.36842105263156</v>
      </c>
      <c r="BC156" s="225">
        <f t="shared" si="88"/>
        <v>0</v>
      </c>
      <c r="BD156" s="225">
        <f t="shared" si="89"/>
        <v>-144.30000000000001</v>
      </c>
      <c r="BE156" s="225">
        <f t="shared" si="90"/>
        <v>-5317.0684210526333</v>
      </c>
      <c r="BF156" s="225">
        <f t="shared" si="91"/>
        <v>0</v>
      </c>
      <c r="BG156" s="225">
        <f t="shared" si="64"/>
        <v>0</v>
      </c>
      <c r="BH156" s="225">
        <f t="shared" si="65"/>
        <v>0</v>
      </c>
      <c r="BI156" s="225">
        <f t="shared" si="66"/>
        <v>3531.8399999999965</v>
      </c>
      <c r="BJ156" s="225">
        <f t="shared" si="67"/>
        <v>-1443</v>
      </c>
      <c r="BK156" s="225">
        <f t="shared" si="68"/>
        <v>-551.88421052631577</v>
      </c>
      <c r="BL156" s="225">
        <f t="shared" si="69"/>
        <v>0</v>
      </c>
      <c r="BM156" s="225">
        <f t="shared" si="70"/>
        <v>-37.050000000000011</v>
      </c>
      <c r="BN156" s="225">
        <f t="shared" si="92"/>
        <v>1499.9057894736809</v>
      </c>
      <c r="BO156" s="225">
        <f t="shared" si="71"/>
        <v>0</v>
      </c>
      <c r="BP156" s="225"/>
      <c r="BQ156" s="225"/>
      <c r="BR156" s="225"/>
      <c r="BS156" s="225"/>
      <c r="BT156" s="225"/>
      <c r="BU156" s="225"/>
      <c r="BV156" s="225"/>
      <c r="BW156" s="225"/>
      <c r="BY156" s="176"/>
      <c r="BZ156" s="176"/>
      <c r="CA156" s="176"/>
      <c r="CB156" s="176"/>
      <c r="CC156" s="176"/>
      <c r="CD156" s="176"/>
      <c r="CE156" s="176"/>
      <c r="CF156" s="176"/>
      <c r="CH156" s="248"/>
      <c r="CI156" s="248"/>
      <c r="CJ156" s="248"/>
      <c r="CK156" s="248"/>
      <c r="CL156" s="248"/>
      <c r="CM156" s="248"/>
      <c r="CN156" s="248"/>
      <c r="CO156" s="248"/>
      <c r="CQ156" s="248"/>
      <c r="CR156" s="248"/>
      <c r="CS156" s="248"/>
      <c r="CT156" s="248"/>
      <c r="CU156" s="248"/>
      <c r="CV156" s="248"/>
      <c r="CW156" s="248"/>
      <c r="CX156" s="248"/>
      <c r="CY156" s="248"/>
      <c r="DA156" s="248"/>
      <c r="DB156" s="248"/>
      <c r="DC156" s="248"/>
      <c r="DD156" s="248"/>
      <c r="DE156" s="248"/>
      <c r="DF156" s="248"/>
      <c r="DG156" s="248"/>
      <c r="DH156" s="248"/>
      <c r="DJ156" s="179" t="e">
        <f>#REF!+((SUMIFS($F156:$AM156,$F$3:$AM$3,$DJ$7)*80%))+SUMIFS(#REF!,#REF!,$DJ$7)</f>
        <v>#REF!</v>
      </c>
      <c r="DK156" s="179">
        <f t="shared" si="72"/>
        <v>0</v>
      </c>
      <c r="DL156" s="173" t="e">
        <f t="shared" si="93"/>
        <v>#REF!</v>
      </c>
    </row>
    <row r="157" spans="1:116">
      <c r="A157" s="168">
        <v>2458</v>
      </c>
      <c r="B157" s="2">
        <v>139162</v>
      </c>
      <c r="C157" s="2" t="s">
        <v>357</v>
      </c>
      <c r="D157" s="30"/>
      <c r="E157" s="226"/>
      <c r="F157" s="176">
        <v>0</v>
      </c>
      <c r="G157" s="176">
        <v>0</v>
      </c>
      <c r="H157" s="176">
        <v>55185</v>
      </c>
      <c r="I157" s="176">
        <v>2535</v>
      </c>
      <c r="J157" s="176">
        <v>0</v>
      </c>
      <c r="K157" s="176">
        <v>0</v>
      </c>
      <c r="L157" s="30">
        <f t="shared" si="73"/>
        <v>57720</v>
      </c>
      <c r="M157" s="176">
        <f t="shared" si="74"/>
        <v>46176</v>
      </c>
      <c r="N157" s="226"/>
      <c r="O157" s="176">
        <v>0</v>
      </c>
      <c r="P157" s="176">
        <v>0</v>
      </c>
      <c r="Q157" s="176">
        <v>52977.599999999999</v>
      </c>
      <c r="R157" s="176">
        <v>1755</v>
      </c>
      <c r="S157" s="176">
        <v>74.578947368421055</v>
      </c>
      <c r="T157" s="176">
        <v>0</v>
      </c>
      <c r="U157" s="176">
        <f t="shared" si="75"/>
        <v>54807.178947368418</v>
      </c>
      <c r="V157" s="176">
        <f t="shared" si="76"/>
        <v>43845.743157894736</v>
      </c>
      <c r="W157" s="226"/>
      <c r="X157" s="247"/>
      <c r="Y157" s="176">
        <v>0</v>
      </c>
      <c r="Z157" s="176">
        <v>46328.589473684209</v>
      </c>
      <c r="AA157" s="176">
        <v>1591.5789473684208</v>
      </c>
      <c r="AB157" s="176">
        <v>86.958448753462591</v>
      </c>
      <c r="AC157" s="176">
        <v>0</v>
      </c>
      <c r="AD157" s="176">
        <f t="shared" si="77"/>
        <v>48007.126869806089</v>
      </c>
      <c r="AE157" s="247">
        <f t="shared" si="78"/>
        <v>38405.701495844871</v>
      </c>
      <c r="AF157" s="226"/>
      <c r="AG157" s="247">
        <v>1072.5</v>
      </c>
      <c r="AH157" s="247">
        <v>696.15</v>
      </c>
      <c r="AI157" s="247">
        <v>758.84210526315792</v>
      </c>
      <c r="AJ157" s="226"/>
      <c r="AK157" s="247">
        <f t="shared" si="79"/>
        <v>858</v>
      </c>
      <c r="AL157" s="247">
        <f t="shared" si="80"/>
        <v>556.91999999999996</v>
      </c>
      <c r="AM157" s="247">
        <f t="shared" si="81"/>
        <v>607.07368421052638</v>
      </c>
      <c r="AN157" s="225"/>
      <c r="AO157" s="225">
        <v>0</v>
      </c>
      <c r="AP157" s="225">
        <v>0</v>
      </c>
      <c r="AQ157" s="225">
        <v>55185</v>
      </c>
      <c r="AR157" s="225">
        <v>1950</v>
      </c>
      <c r="AS157" s="225">
        <v>74.578947368421055</v>
      </c>
      <c r="AT157" s="225">
        <v>0</v>
      </c>
      <c r="AU157" s="225">
        <v>856.05</v>
      </c>
      <c r="AV157" s="225">
        <f t="shared" si="82"/>
        <v>58065.628947368423</v>
      </c>
      <c r="AX157" s="225">
        <f t="shared" si="83"/>
        <v>0</v>
      </c>
      <c r="AY157" s="225">
        <f t="shared" si="84"/>
        <v>0</v>
      </c>
      <c r="AZ157" s="225">
        <f t="shared" si="85"/>
        <v>0</v>
      </c>
      <c r="BA157" s="225">
        <f t="shared" si="86"/>
        <v>-585</v>
      </c>
      <c r="BB157" s="225">
        <f t="shared" si="87"/>
        <v>74.578947368421055</v>
      </c>
      <c r="BC157" s="225">
        <f t="shared" si="88"/>
        <v>0</v>
      </c>
      <c r="BD157" s="225">
        <f t="shared" si="89"/>
        <v>-216.45000000000005</v>
      </c>
      <c r="BE157" s="225">
        <f t="shared" si="90"/>
        <v>-726.871052631579</v>
      </c>
      <c r="BF157" s="225">
        <f t="shared" si="91"/>
        <v>0</v>
      </c>
      <c r="BG157" s="225">
        <f t="shared" si="64"/>
        <v>0</v>
      </c>
      <c r="BH157" s="225">
        <f t="shared" si="65"/>
        <v>0</v>
      </c>
      <c r="BI157" s="225">
        <f t="shared" si="66"/>
        <v>11037</v>
      </c>
      <c r="BJ157" s="225">
        <f t="shared" si="67"/>
        <v>-78</v>
      </c>
      <c r="BK157" s="225">
        <f t="shared" si="68"/>
        <v>74.578947368421055</v>
      </c>
      <c r="BL157" s="225">
        <f t="shared" si="69"/>
        <v>0</v>
      </c>
      <c r="BM157" s="225">
        <f t="shared" si="70"/>
        <v>-1.9500000000000455</v>
      </c>
      <c r="BN157" s="225">
        <f t="shared" si="92"/>
        <v>11031.628947368421</v>
      </c>
      <c r="BO157" s="225">
        <f t="shared" si="71"/>
        <v>0</v>
      </c>
      <c r="BP157" s="225"/>
      <c r="BQ157" s="225"/>
      <c r="BR157" s="225"/>
      <c r="BS157" s="225"/>
      <c r="BT157" s="225"/>
      <c r="BU157" s="225"/>
      <c r="BV157" s="225"/>
      <c r="BW157" s="225"/>
      <c r="BY157" s="176"/>
      <c r="BZ157" s="176"/>
      <c r="CA157" s="176"/>
      <c r="CB157" s="176"/>
      <c r="CC157" s="176"/>
      <c r="CD157" s="176"/>
      <c r="CE157" s="176"/>
      <c r="CF157" s="176"/>
      <c r="CH157" s="248"/>
      <c r="CI157" s="248"/>
      <c r="CJ157" s="248"/>
      <c r="CK157" s="248"/>
      <c r="CL157" s="248"/>
      <c r="CM157" s="248"/>
      <c r="CN157" s="248"/>
      <c r="CO157" s="248"/>
      <c r="CQ157" s="248"/>
      <c r="CR157" s="248"/>
      <c r="CS157" s="248"/>
      <c r="CT157" s="248"/>
      <c r="CU157" s="248"/>
      <c r="CV157" s="248"/>
      <c r="CW157" s="248"/>
      <c r="CX157" s="248"/>
      <c r="CY157" s="248"/>
      <c r="DA157" s="248"/>
      <c r="DB157" s="248"/>
      <c r="DC157" s="248"/>
      <c r="DD157" s="248"/>
      <c r="DE157" s="248"/>
      <c r="DF157" s="248"/>
      <c r="DG157" s="248"/>
      <c r="DH157" s="248"/>
      <c r="DJ157" s="179" t="e">
        <f>#REF!+((SUMIFS($F157:$AM157,$F$3:$AM$3,$DJ$7)*80%))+SUMIFS(#REF!,#REF!,$DJ$7)</f>
        <v>#REF!</v>
      </c>
      <c r="DK157" s="179">
        <f t="shared" si="72"/>
        <v>0</v>
      </c>
      <c r="DL157" s="173" t="e">
        <f t="shared" si="93"/>
        <v>#REF!</v>
      </c>
    </row>
    <row r="158" spans="1:116">
      <c r="A158" s="168">
        <v>2452</v>
      </c>
      <c r="B158" s="2">
        <v>139631</v>
      </c>
      <c r="C158" s="2" t="s">
        <v>358</v>
      </c>
      <c r="D158" s="30"/>
      <c r="E158" s="226"/>
      <c r="F158" s="176">
        <v>0</v>
      </c>
      <c r="G158" s="176">
        <v>0</v>
      </c>
      <c r="H158" s="176">
        <v>0</v>
      </c>
      <c r="I158" s="176">
        <v>0</v>
      </c>
      <c r="J158" s="176">
        <v>0</v>
      </c>
      <c r="K158" s="176">
        <v>0</v>
      </c>
      <c r="L158" s="30">
        <f t="shared" si="73"/>
        <v>0</v>
      </c>
      <c r="M158" s="176">
        <f t="shared" si="74"/>
        <v>0</v>
      </c>
      <c r="N158" s="226"/>
      <c r="O158" s="176">
        <v>0</v>
      </c>
      <c r="P158" s="176">
        <v>0</v>
      </c>
      <c r="Q158" s="176">
        <v>0</v>
      </c>
      <c r="R158" s="176">
        <v>0</v>
      </c>
      <c r="S158" s="176">
        <v>0</v>
      </c>
      <c r="T158" s="176">
        <v>0</v>
      </c>
      <c r="U158" s="176">
        <f t="shared" si="75"/>
        <v>0</v>
      </c>
      <c r="V158" s="176">
        <f t="shared" si="76"/>
        <v>0</v>
      </c>
      <c r="W158" s="226"/>
      <c r="X158" s="247"/>
      <c r="Y158" s="176">
        <v>0</v>
      </c>
      <c r="Z158" s="176">
        <v>0</v>
      </c>
      <c r="AA158" s="176">
        <v>0</v>
      </c>
      <c r="AB158" s="176">
        <v>0</v>
      </c>
      <c r="AC158" s="176">
        <v>0</v>
      </c>
      <c r="AD158" s="176">
        <f t="shared" si="77"/>
        <v>0</v>
      </c>
      <c r="AE158" s="247">
        <f t="shared" si="78"/>
        <v>0</v>
      </c>
      <c r="AF158" s="226"/>
      <c r="AG158" s="247">
        <v>0</v>
      </c>
      <c r="AH158" s="247">
        <v>0</v>
      </c>
      <c r="AI158" s="247">
        <v>0</v>
      </c>
      <c r="AJ158" s="226"/>
      <c r="AK158" s="247">
        <f t="shared" si="79"/>
        <v>0</v>
      </c>
      <c r="AL158" s="247">
        <f t="shared" si="80"/>
        <v>0</v>
      </c>
      <c r="AM158" s="247">
        <f t="shared" si="81"/>
        <v>0</v>
      </c>
      <c r="AN158" s="225"/>
      <c r="AO158" s="225">
        <v>0</v>
      </c>
      <c r="AP158" s="225">
        <v>0</v>
      </c>
      <c r="AQ158" s="225">
        <v>0</v>
      </c>
      <c r="AR158" s="225">
        <v>0</v>
      </c>
      <c r="AS158" s="225">
        <v>0</v>
      </c>
      <c r="AT158" s="225">
        <v>0</v>
      </c>
      <c r="AU158" s="225">
        <v>0</v>
      </c>
      <c r="AV158" s="225">
        <f t="shared" si="82"/>
        <v>0</v>
      </c>
      <c r="AX158" s="225">
        <f t="shared" si="83"/>
        <v>0</v>
      </c>
      <c r="AY158" s="225">
        <f t="shared" si="84"/>
        <v>0</v>
      </c>
      <c r="AZ158" s="225">
        <f t="shared" si="85"/>
        <v>0</v>
      </c>
      <c r="BA158" s="225">
        <f t="shared" si="86"/>
        <v>0</v>
      </c>
      <c r="BB158" s="225">
        <f t="shared" si="87"/>
        <v>0</v>
      </c>
      <c r="BC158" s="225">
        <f t="shared" si="88"/>
        <v>0</v>
      </c>
      <c r="BD158" s="225">
        <f t="shared" si="89"/>
        <v>0</v>
      </c>
      <c r="BE158" s="225">
        <f t="shared" si="90"/>
        <v>0</v>
      </c>
      <c r="BF158" s="225">
        <f t="shared" si="91"/>
        <v>0</v>
      </c>
      <c r="BG158" s="225">
        <f t="shared" si="64"/>
        <v>0</v>
      </c>
      <c r="BH158" s="225">
        <f t="shared" si="65"/>
        <v>0</v>
      </c>
      <c r="BI158" s="225">
        <f t="shared" si="66"/>
        <v>0</v>
      </c>
      <c r="BJ158" s="225">
        <f t="shared" si="67"/>
        <v>0</v>
      </c>
      <c r="BK158" s="225">
        <f t="shared" si="68"/>
        <v>0</v>
      </c>
      <c r="BL158" s="225">
        <f t="shared" si="69"/>
        <v>0</v>
      </c>
      <c r="BM158" s="225">
        <f t="shared" si="70"/>
        <v>0</v>
      </c>
      <c r="BN158" s="225">
        <f t="shared" si="92"/>
        <v>0</v>
      </c>
      <c r="BO158" s="225">
        <f t="shared" si="71"/>
        <v>0</v>
      </c>
      <c r="BP158" s="225"/>
      <c r="BQ158" s="225"/>
      <c r="BR158" s="225"/>
      <c r="BS158" s="225"/>
      <c r="BT158" s="225"/>
      <c r="BU158" s="225"/>
      <c r="BV158" s="225"/>
      <c r="BW158" s="225"/>
      <c r="BY158" s="176"/>
      <c r="BZ158" s="176"/>
      <c r="CA158" s="176"/>
      <c r="CB158" s="176"/>
      <c r="CC158" s="176"/>
      <c r="CD158" s="176"/>
      <c r="CE158" s="176"/>
      <c r="CF158" s="176"/>
      <c r="CH158" s="248"/>
      <c r="CI158" s="248"/>
      <c r="CJ158" s="248"/>
      <c r="CK158" s="248"/>
      <c r="CL158" s="248"/>
      <c r="CM158" s="248"/>
      <c r="CN158" s="248"/>
      <c r="CO158" s="248"/>
      <c r="CQ158" s="248"/>
      <c r="CR158" s="248"/>
      <c r="CS158" s="248"/>
      <c r="CT158" s="248"/>
      <c r="CU158" s="248"/>
      <c r="CV158" s="248"/>
      <c r="CW158" s="248"/>
      <c r="CX158" s="248"/>
      <c r="CY158" s="248"/>
      <c r="DA158" s="248"/>
      <c r="DB158" s="248"/>
      <c r="DC158" s="248"/>
      <c r="DD158" s="248"/>
      <c r="DE158" s="248"/>
      <c r="DF158" s="248"/>
      <c r="DG158" s="248"/>
      <c r="DH158" s="248"/>
      <c r="DJ158" s="179" t="e">
        <f>#REF!+((SUMIFS($F158:$AM158,$F$3:$AM$3,$DJ$7)*80%))+SUMIFS(#REF!,#REF!,$DJ$7)</f>
        <v>#REF!</v>
      </c>
      <c r="DK158" s="179">
        <f t="shared" si="72"/>
        <v>0</v>
      </c>
      <c r="DL158" s="173" t="e">
        <f t="shared" si="93"/>
        <v>#REF!</v>
      </c>
    </row>
    <row r="159" spans="1:116">
      <c r="A159" s="168">
        <v>2057</v>
      </c>
      <c r="B159" s="2">
        <v>138410</v>
      </c>
      <c r="C159" s="2" t="s">
        <v>359</v>
      </c>
      <c r="D159" s="30"/>
      <c r="E159" s="226"/>
      <c r="F159" s="176">
        <v>0</v>
      </c>
      <c r="G159" s="176">
        <v>0</v>
      </c>
      <c r="H159" s="176">
        <v>40836.9</v>
      </c>
      <c r="I159" s="176">
        <v>3315</v>
      </c>
      <c r="J159" s="176">
        <v>1267.8421052631579</v>
      </c>
      <c r="K159" s="176">
        <v>0</v>
      </c>
      <c r="L159" s="30">
        <f t="shared" si="73"/>
        <v>45419.742105263162</v>
      </c>
      <c r="M159" s="176">
        <f t="shared" si="74"/>
        <v>36335.793684210534</v>
      </c>
      <c r="N159" s="226"/>
      <c r="O159" s="176">
        <v>0</v>
      </c>
      <c r="P159" s="176">
        <v>0</v>
      </c>
      <c r="Q159" s="176">
        <v>41940.6</v>
      </c>
      <c r="R159" s="176">
        <v>1365</v>
      </c>
      <c r="S159" s="176">
        <v>522.0526315789474</v>
      </c>
      <c r="T159" s="176">
        <v>0</v>
      </c>
      <c r="U159" s="176">
        <f t="shared" si="75"/>
        <v>43827.652631578945</v>
      </c>
      <c r="V159" s="176">
        <f t="shared" si="76"/>
        <v>35062.122105263159</v>
      </c>
      <c r="W159" s="226"/>
      <c r="X159" s="247"/>
      <c r="Y159" s="176">
        <v>0</v>
      </c>
      <c r="Z159" s="176">
        <v>34746.442105263159</v>
      </c>
      <c r="AA159" s="176">
        <v>2330.5263157894738</v>
      </c>
      <c r="AB159" s="176">
        <v>891.3240997229916</v>
      </c>
      <c r="AC159" s="176">
        <v>0</v>
      </c>
      <c r="AD159" s="176">
        <f t="shared" si="77"/>
        <v>37968.292520775627</v>
      </c>
      <c r="AE159" s="247">
        <f t="shared" si="78"/>
        <v>30374.634016620505</v>
      </c>
      <c r="AF159" s="226"/>
      <c r="AG159" s="247">
        <v>1805.7</v>
      </c>
      <c r="AH159" s="247">
        <v>2014.35</v>
      </c>
      <c r="AI159" s="247">
        <v>1614.3157894736842</v>
      </c>
      <c r="AJ159" s="226"/>
      <c r="AK159" s="247">
        <f t="shared" si="79"/>
        <v>1444.5600000000002</v>
      </c>
      <c r="AL159" s="247">
        <f t="shared" si="80"/>
        <v>1611.48</v>
      </c>
      <c r="AM159" s="247">
        <f t="shared" si="81"/>
        <v>1291.4526315789474</v>
      </c>
      <c r="AN159" s="225"/>
      <c r="AO159" s="225">
        <v>0</v>
      </c>
      <c r="AP159" s="225">
        <v>0</v>
      </c>
      <c r="AQ159" s="225">
        <v>43044.3</v>
      </c>
      <c r="AR159" s="225">
        <v>4095</v>
      </c>
      <c r="AS159" s="225">
        <v>1566.1578947368421</v>
      </c>
      <c r="AT159" s="225">
        <v>0</v>
      </c>
      <c r="AU159" s="225">
        <v>2070.9</v>
      </c>
      <c r="AV159" s="225">
        <f t="shared" si="82"/>
        <v>50776.357894736844</v>
      </c>
      <c r="AX159" s="225">
        <f t="shared" si="83"/>
        <v>0</v>
      </c>
      <c r="AY159" s="225">
        <f t="shared" si="84"/>
        <v>0</v>
      </c>
      <c r="AZ159" s="225">
        <f t="shared" si="85"/>
        <v>2207.4000000000015</v>
      </c>
      <c r="BA159" s="225">
        <f t="shared" si="86"/>
        <v>780</v>
      </c>
      <c r="BB159" s="225">
        <f t="shared" si="87"/>
        <v>298.31578947368416</v>
      </c>
      <c r="BC159" s="225">
        <f t="shared" si="88"/>
        <v>0</v>
      </c>
      <c r="BD159" s="225">
        <f t="shared" si="89"/>
        <v>265.20000000000005</v>
      </c>
      <c r="BE159" s="225">
        <f t="shared" si="90"/>
        <v>3550.9157894736854</v>
      </c>
      <c r="BF159" s="225">
        <f t="shared" si="91"/>
        <v>0</v>
      </c>
      <c r="BG159" s="225">
        <f t="shared" si="64"/>
        <v>0</v>
      </c>
      <c r="BH159" s="225">
        <f t="shared" si="65"/>
        <v>0</v>
      </c>
      <c r="BI159" s="225">
        <f t="shared" si="66"/>
        <v>10374.779999999999</v>
      </c>
      <c r="BJ159" s="225">
        <f t="shared" si="67"/>
        <v>1443</v>
      </c>
      <c r="BK159" s="225">
        <f t="shared" si="68"/>
        <v>551.88421052631566</v>
      </c>
      <c r="BL159" s="225">
        <f t="shared" si="69"/>
        <v>0</v>
      </c>
      <c r="BM159" s="225">
        <f t="shared" si="70"/>
        <v>626.33999999999992</v>
      </c>
      <c r="BN159" s="225">
        <f t="shared" si="92"/>
        <v>12996.004210526315</v>
      </c>
      <c r="BO159" s="225">
        <f t="shared" si="71"/>
        <v>0</v>
      </c>
      <c r="BP159" s="225"/>
      <c r="BQ159" s="225"/>
      <c r="BR159" s="225"/>
      <c r="BS159" s="225"/>
      <c r="BT159" s="225"/>
      <c r="BU159" s="225"/>
      <c r="BV159" s="225"/>
      <c r="BW159" s="225"/>
      <c r="BY159" s="176"/>
      <c r="BZ159" s="176"/>
      <c r="CA159" s="176"/>
      <c r="CB159" s="176"/>
      <c r="CC159" s="176"/>
      <c r="CD159" s="176"/>
      <c r="CE159" s="176"/>
      <c r="CF159" s="176"/>
      <c r="CH159" s="248"/>
      <c r="CI159" s="248"/>
      <c r="CJ159" s="248"/>
      <c r="CK159" s="248"/>
      <c r="CL159" s="248"/>
      <c r="CM159" s="248"/>
      <c r="CN159" s="248"/>
      <c r="CO159" s="248"/>
      <c r="CQ159" s="248"/>
      <c r="CR159" s="248"/>
      <c r="CS159" s="248"/>
      <c r="CT159" s="248"/>
      <c r="CU159" s="248"/>
      <c r="CV159" s="248"/>
      <c r="CW159" s="248"/>
      <c r="CX159" s="248"/>
      <c r="CY159" s="248"/>
      <c r="DA159" s="248"/>
      <c r="DB159" s="248"/>
      <c r="DC159" s="248"/>
      <c r="DD159" s="248"/>
      <c r="DE159" s="248"/>
      <c r="DF159" s="248"/>
      <c r="DG159" s="248"/>
      <c r="DH159" s="248"/>
      <c r="DJ159" s="179" t="e">
        <f>#REF!+((SUMIFS($F159:$AM159,$F$3:$AM$3,$DJ$7)*80%))+SUMIFS(#REF!,#REF!,$DJ$7)</f>
        <v>#REF!</v>
      </c>
      <c r="DK159" s="179">
        <f t="shared" si="72"/>
        <v>0</v>
      </c>
      <c r="DL159" s="173" t="e">
        <f t="shared" si="93"/>
        <v>#REF!</v>
      </c>
    </row>
    <row r="160" spans="1:116">
      <c r="A160" s="168">
        <v>4331</v>
      </c>
      <c r="B160" s="2">
        <v>137053</v>
      </c>
      <c r="C160" s="2" t="s">
        <v>360</v>
      </c>
      <c r="D160" s="30"/>
      <c r="E160" s="226"/>
      <c r="F160" s="176">
        <v>0</v>
      </c>
      <c r="G160" s="176">
        <v>0</v>
      </c>
      <c r="H160" s="176">
        <v>0</v>
      </c>
      <c r="I160" s="176">
        <v>0</v>
      </c>
      <c r="J160" s="176">
        <v>0</v>
      </c>
      <c r="K160" s="176">
        <v>0</v>
      </c>
      <c r="L160" s="30">
        <f t="shared" si="73"/>
        <v>0</v>
      </c>
      <c r="M160" s="176">
        <f t="shared" si="74"/>
        <v>0</v>
      </c>
      <c r="N160" s="226"/>
      <c r="O160" s="176">
        <v>0</v>
      </c>
      <c r="P160" s="176">
        <v>0</v>
      </c>
      <c r="Q160" s="176">
        <v>0</v>
      </c>
      <c r="R160" s="176">
        <v>0</v>
      </c>
      <c r="S160" s="176">
        <v>0</v>
      </c>
      <c r="T160" s="176">
        <v>0</v>
      </c>
      <c r="U160" s="176">
        <f t="shared" si="75"/>
        <v>0</v>
      </c>
      <c r="V160" s="176">
        <f t="shared" si="76"/>
        <v>0</v>
      </c>
      <c r="W160" s="226"/>
      <c r="X160" s="247"/>
      <c r="Y160" s="176">
        <v>0</v>
      </c>
      <c r="Z160" s="176">
        <v>0</v>
      </c>
      <c r="AA160" s="176">
        <v>0</v>
      </c>
      <c r="AB160" s="176">
        <v>0</v>
      </c>
      <c r="AC160" s="176">
        <v>0</v>
      </c>
      <c r="AD160" s="176">
        <f t="shared" si="77"/>
        <v>0</v>
      </c>
      <c r="AE160" s="247">
        <f t="shared" si="78"/>
        <v>0</v>
      </c>
      <c r="AF160" s="226"/>
      <c r="AG160" s="247">
        <v>0</v>
      </c>
      <c r="AH160" s="247">
        <v>0</v>
      </c>
      <c r="AI160" s="247">
        <v>0</v>
      </c>
      <c r="AJ160" s="226"/>
      <c r="AK160" s="247">
        <f t="shared" si="79"/>
        <v>0</v>
      </c>
      <c r="AL160" s="247">
        <f t="shared" si="80"/>
        <v>0</v>
      </c>
      <c r="AM160" s="247">
        <f t="shared" si="81"/>
        <v>0</v>
      </c>
      <c r="AN160" s="225"/>
      <c r="AO160" s="225">
        <v>0</v>
      </c>
      <c r="AP160" s="225">
        <v>0</v>
      </c>
      <c r="AQ160" s="225">
        <v>0</v>
      </c>
      <c r="AR160" s="225">
        <v>0</v>
      </c>
      <c r="AS160" s="225">
        <v>0</v>
      </c>
      <c r="AT160" s="225">
        <v>0</v>
      </c>
      <c r="AU160" s="225">
        <v>0</v>
      </c>
      <c r="AV160" s="225">
        <f t="shared" si="82"/>
        <v>0</v>
      </c>
      <c r="AX160" s="225">
        <f t="shared" si="83"/>
        <v>0</v>
      </c>
      <c r="AY160" s="225">
        <f t="shared" si="84"/>
        <v>0</v>
      </c>
      <c r="AZ160" s="225">
        <f t="shared" si="85"/>
        <v>0</v>
      </c>
      <c r="BA160" s="225">
        <f t="shared" si="86"/>
        <v>0</v>
      </c>
      <c r="BB160" s="225">
        <f t="shared" si="87"/>
        <v>0</v>
      </c>
      <c r="BC160" s="225">
        <f t="shared" si="88"/>
        <v>0</v>
      </c>
      <c r="BD160" s="225">
        <f t="shared" si="89"/>
        <v>0</v>
      </c>
      <c r="BE160" s="225">
        <f t="shared" si="90"/>
        <v>0</v>
      </c>
      <c r="BF160" s="225">
        <f t="shared" si="91"/>
        <v>0</v>
      </c>
      <c r="BG160" s="225">
        <f t="shared" si="64"/>
        <v>0</v>
      </c>
      <c r="BH160" s="225">
        <f t="shared" si="65"/>
        <v>0</v>
      </c>
      <c r="BI160" s="225">
        <f t="shared" si="66"/>
        <v>0</v>
      </c>
      <c r="BJ160" s="225">
        <f t="shared" si="67"/>
        <v>0</v>
      </c>
      <c r="BK160" s="225">
        <f t="shared" si="68"/>
        <v>0</v>
      </c>
      <c r="BL160" s="225">
        <f t="shared" si="69"/>
        <v>0</v>
      </c>
      <c r="BM160" s="225">
        <f t="shared" si="70"/>
        <v>0</v>
      </c>
      <c r="BN160" s="225">
        <f t="shared" si="92"/>
        <v>0</v>
      </c>
      <c r="BO160" s="225">
        <f t="shared" si="71"/>
        <v>0</v>
      </c>
      <c r="BP160" s="225"/>
      <c r="BQ160" s="225"/>
      <c r="BR160" s="225"/>
      <c r="BS160" s="225"/>
      <c r="BT160" s="225"/>
      <c r="BU160" s="225"/>
      <c r="BV160" s="225"/>
      <c r="BW160" s="225"/>
      <c r="BY160" s="176"/>
      <c r="BZ160" s="176"/>
      <c r="CA160" s="176"/>
      <c r="CB160" s="176"/>
      <c r="CC160" s="176"/>
      <c r="CD160" s="176"/>
      <c r="CE160" s="176"/>
      <c r="CF160" s="176"/>
      <c r="CH160" s="248"/>
      <c r="CI160" s="248"/>
      <c r="CJ160" s="248"/>
      <c r="CK160" s="248"/>
      <c r="CL160" s="248"/>
      <c r="CM160" s="248"/>
      <c r="CN160" s="248"/>
      <c r="CO160" s="248"/>
      <c r="CQ160" s="248"/>
      <c r="CR160" s="248"/>
      <c r="CS160" s="248"/>
      <c r="CT160" s="248"/>
      <c r="CU160" s="248"/>
      <c r="CV160" s="248"/>
      <c r="CW160" s="248"/>
      <c r="CX160" s="248"/>
      <c r="CY160" s="248"/>
      <c r="DA160" s="248"/>
      <c r="DB160" s="248"/>
      <c r="DC160" s="248"/>
      <c r="DD160" s="248"/>
      <c r="DE160" s="248"/>
      <c r="DF160" s="248"/>
      <c r="DG160" s="248"/>
      <c r="DH160" s="248"/>
      <c r="DJ160" s="179" t="e">
        <f>#REF!+((SUMIFS($F160:$AM160,$F$3:$AM$3,$DJ$7)*80%))+SUMIFS(#REF!,#REF!,$DJ$7)</f>
        <v>#REF!</v>
      </c>
      <c r="DK160" s="179">
        <f t="shared" si="72"/>
        <v>0</v>
      </c>
      <c r="DL160" s="173" t="e">
        <f t="shared" si="93"/>
        <v>#REF!</v>
      </c>
    </row>
    <row r="161" spans="1:116">
      <c r="A161" s="168">
        <v>4041</v>
      </c>
      <c r="B161" s="2">
        <v>148553</v>
      </c>
      <c r="C161" s="2" t="s">
        <v>361</v>
      </c>
      <c r="D161" s="30"/>
      <c r="E161" s="226"/>
      <c r="F161" s="176">
        <v>0</v>
      </c>
      <c r="G161" s="176">
        <v>0</v>
      </c>
      <c r="H161" s="176">
        <v>0</v>
      </c>
      <c r="I161" s="176">
        <v>0</v>
      </c>
      <c r="J161" s="176">
        <v>0</v>
      </c>
      <c r="K161" s="176">
        <v>0</v>
      </c>
      <c r="L161" s="30">
        <f t="shared" si="73"/>
        <v>0</v>
      </c>
      <c r="M161" s="176">
        <f t="shared" si="74"/>
        <v>0</v>
      </c>
      <c r="N161" s="226"/>
      <c r="O161" s="176">
        <v>0</v>
      </c>
      <c r="P161" s="176">
        <v>0</v>
      </c>
      <c r="Q161" s="176">
        <v>0</v>
      </c>
      <c r="R161" s="176">
        <v>0</v>
      </c>
      <c r="S161" s="176">
        <v>0</v>
      </c>
      <c r="T161" s="176">
        <v>0</v>
      </c>
      <c r="U161" s="176">
        <f t="shared" si="75"/>
        <v>0</v>
      </c>
      <c r="V161" s="176">
        <f t="shared" si="76"/>
        <v>0</v>
      </c>
      <c r="W161" s="226"/>
      <c r="X161" s="247"/>
      <c r="Y161" s="176">
        <v>0</v>
      </c>
      <c r="Z161" s="176">
        <v>0</v>
      </c>
      <c r="AA161" s="176">
        <v>0</v>
      </c>
      <c r="AB161" s="176">
        <v>0</v>
      </c>
      <c r="AC161" s="176">
        <v>0</v>
      </c>
      <c r="AD161" s="176">
        <f t="shared" si="77"/>
        <v>0</v>
      </c>
      <c r="AE161" s="247">
        <f t="shared" si="78"/>
        <v>0</v>
      </c>
      <c r="AF161" s="226"/>
      <c r="AG161" s="247">
        <v>0</v>
      </c>
      <c r="AH161" s="247">
        <v>0</v>
      </c>
      <c r="AI161" s="247">
        <v>0</v>
      </c>
      <c r="AJ161" s="226"/>
      <c r="AK161" s="247">
        <f t="shared" si="79"/>
        <v>0</v>
      </c>
      <c r="AL161" s="247">
        <f t="shared" si="80"/>
        <v>0</v>
      </c>
      <c r="AM161" s="247">
        <f t="shared" si="81"/>
        <v>0</v>
      </c>
      <c r="AN161" s="225"/>
      <c r="AO161" s="225">
        <v>0</v>
      </c>
      <c r="AP161" s="225">
        <v>0</v>
      </c>
      <c r="AQ161" s="225">
        <v>0</v>
      </c>
      <c r="AR161" s="225">
        <v>0</v>
      </c>
      <c r="AS161" s="225">
        <v>0</v>
      </c>
      <c r="AT161" s="225">
        <v>0</v>
      </c>
      <c r="AU161" s="225">
        <v>0</v>
      </c>
      <c r="AV161" s="225">
        <f t="shared" si="82"/>
        <v>0</v>
      </c>
      <c r="AX161" s="225">
        <f t="shared" si="83"/>
        <v>0</v>
      </c>
      <c r="AY161" s="225">
        <f t="shared" si="84"/>
        <v>0</v>
      </c>
      <c r="AZ161" s="225">
        <f t="shared" si="85"/>
        <v>0</v>
      </c>
      <c r="BA161" s="225">
        <f t="shared" si="86"/>
        <v>0</v>
      </c>
      <c r="BB161" s="225">
        <f t="shared" si="87"/>
        <v>0</v>
      </c>
      <c r="BC161" s="225">
        <f t="shared" si="88"/>
        <v>0</v>
      </c>
      <c r="BD161" s="225">
        <f t="shared" si="89"/>
        <v>0</v>
      </c>
      <c r="BE161" s="225">
        <f t="shared" si="90"/>
        <v>0</v>
      </c>
      <c r="BF161" s="225">
        <f t="shared" si="91"/>
        <v>0</v>
      </c>
      <c r="BG161" s="225">
        <f t="shared" si="64"/>
        <v>0</v>
      </c>
      <c r="BH161" s="225">
        <f t="shared" si="65"/>
        <v>0</v>
      </c>
      <c r="BI161" s="225">
        <f t="shared" si="66"/>
        <v>0</v>
      </c>
      <c r="BJ161" s="225">
        <f t="shared" si="67"/>
        <v>0</v>
      </c>
      <c r="BK161" s="225">
        <f t="shared" si="68"/>
        <v>0</v>
      </c>
      <c r="BL161" s="225">
        <f t="shared" si="69"/>
        <v>0</v>
      </c>
      <c r="BM161" s="225">
        <f t="shared" si="70"/>
        <v>0</v>
      </c>
      <c r="BN161" s="225">
        <f t="shared" si="92"/>
        <v>0</v>
      </c>
      <c r="BO161" s="225">
        <f t="shared" si="71"/>
        <v>0</v>
      </c>
      <c r="BP161" s="225"/>
      <c r="BQ161" s="225"/>
      <c r="BR161" s="225"/>
      <c r="BS161" s="225"/>
      <c r="BT161" s="225"/>
      <c r="BU161" s="225"/>
      <c r="BV161" s="225"/>
      <c r="BW161" s="225"/>
      <c r="BY161" s="176"/>
      <c r="BZ161" s="176"/>
      <c r="CA161" s="176"/>
      <c r="CB161" s="176"/>
      <c r="CC161" s="176"/>
      <c r="CD161" s="176"/>
      <c r="CE161" s="176"/>
      <c r="CF161" s="176"/>
      <c r="CH161" s="248"/>
      <c r="CI161" s="248"/>
      <c r="CJ161" s="248"/>
      <c r="CK161" s="248"/>
      <c r="CL161" s="248"/>
      <c r="CM161" s="248"/>
      <c r="CN161" s="248"/>
      <c r="CO161" s="248"/>
      <c r="CQ161" s="248"/>
      <c r="CR161" s="248"/>
      <c r="CS161" s="248"/>
      <c r="CT161" s="248"/>
      <c r="CU161" s="248"/>
      <c r="CV161" s="248"/>
      <c r="CW161" s="248"/>
      <c r="CX161" s="248"/>
      <c r="CY161" s="248"/>
      <c r="DA161" s="248"/>
      <c r="DB161" s="248"/>
      <c r="DC161" s="248"/>
      <c r="DD161" s="248"/>
      <c r="DE161" s="248"/>
      <c r="DF161" s="248"/>
      <c r="DG161" s="248"/>
      <c r="DH161" s="248"/>
      <c r="DJ161" s="179" t="e">
        <f>#REF!+((SUMIFS($F161:$AM161,$F$3:$AM$3,$DJ$7)*80%))+SUMIFS(#REF!,#REF!,$DJ$7)</f>
        <v>#REF!</v>
      </c>
      <c r="DK161" s="179">
        <f t="shared" si="72"/>
        <v>0</v>
      </c>
      <c r="DL161" s="173" t="e">
        <f t="shared" si="93"/>
        <v>#REF!</v>
      </c>
    </row>
    <row r="162" spans="1:116">
      <c r="A162" s="168">
        <v>2003</v>
      </c>
      <c r="B162" s="2">
        <v>142230</v>
      </c>
      <c r="C162" s="2" t="s">
        <v>362</v>
      </c>
      <c r="D162" s="30"/>
      <c r="E162" s="226"/>
      <c r="F162" s="176">
        <v>0</v>
      </c>
      <c r="G162" s="176">
        <v>0</v>
      </c>
      <c r="H162" s="176">
        <v>86088.6</v>
      </c>
      <c r="I162" s="176">
        <v>3510</v>
      </c>
      <c r="J162" s="176">
        <v>298.31578947368422</v>
      </c>
      <c r="K162" s="176">
        <v>0</v>
      </c>
      <c r="L162" s="30">
        <f t="shared" si="73"/>
        <v>89896.915789473685</v>
      </c>
      <c r="M162" s="176">
        <f t="shared" si="74"/>
        <v>71917.532631578957</v>
      </c>
      <c r="N162" s="226"/>
      <c r="O162" s="176">
        <v>0</v>
      </c>
      <c r="P162" s="176">
        <v>0</v>
      </c>
      <c r="Q162" s="176">
        <v>58496.1</v>
      </c>
      <c r="R162" s="176">
        <v>3510</v>
      </c>
      <c r="S162" s="176">
        <v>1193.2631578947369</v>
      </c>
      <c r="T162" s="176">
        <v>0</v>
      </c>
      <c r="U162" s="176">
        <f t="shared" si="75"/>
        <v>63199.363157894739</v>
      </c>
      <c r="V162" s="176">
        <f t="shared" si="76"/>
        <v>50559.490526315793</v>
      </c>
      <c r="W162" s="226"/>
      <c r="X162" s="247"/>
      <c r="Y162" s="176">
        <v>0</v>
      </c>
      <c r="Z162" s="176">
        <v>67240.800000000003</v>
      </c>
      <c r="AA162" s="176">
        <v>3126.3157894736842</v>
      </c>
      <c r="AB162" s="176">
        <v>847.84487534626044</v>
      </c>
      <c r="AC162" s="176">
        <v>0</v>
      </c>
      <c r="AD162" s="176">
        <f t="shared" si="77"/>
        <v>71214.960664819941</v>
      </c>
      <c r="AE162" s="247">
        <f t="shared" si="78"/>
        <v>56971.968531855957</v>
      </c>
      <c r="AF162" s="226"/>
      <c r="AG162" s="247">
        <v>2113.8000000000002</v>
      </c>
      <c r="AH162" s="247">
        <v>1840.8</v>
      </c>
      <c r="AI162" s="247">
        <v>1773.4736842105262</v>
      </c>
      <c r="AJ162" s="226"/>
      <c r="AK162" s="247">
        <f t="shared" si="79"/>
        <v>1691.0400000000002</v>
      </c>
      <c r="AL162" s="247">
        <f t="shared" si="80"/>
        <v>1472.64</v>
      </c>
      <c r="AM162" s="247">
        <f t="shared" si="81"/>
        <v>1418.7789473684211</v>
      </c>
      <c r="AN162" s="225"/>
      <c r="AO162" s="225">
        <v>0</v>
      </c>
      <c r="AP162" s="225">
        <v>0</v>
      </c>
      <c r="AQ162" s="225">
        <v>76155.3</v>
      </c>
      <c r="AR162" s="225">
        <v>4875</v>
      </c>
      <c r="AS162" s="225">
        <v>1864.4736842105265</v>
      </c>
      <c r="AT162" s="225">
        <v>0</v>
      </c>
      <c r="AU162" s="225">
        <v>2263.9499999999998</v>
      </c>
      <c r="AV162" s="225">
        <f t="shared" si="82"/>
        <v>85158.723684210519</v>
      </c>
      <c r="AX162" s="225">
        <f t="shared" si="83"/>
        <v>0</v>
      </c>
      <c r="AY162" s="225">
        <f t="shared" si="84"/>
        <v>0</v>
      </c>
      <c r="AZ162" s="225">
        <f t="shared" si="85"/>
        <v>-9933.3000000000029</v>
      </c>
      <c r="BA162" s="225">
        <f t="shared" si="86"/>
        <v>1365</v>
      </c>
      <c r="BB162" s="225">
        <f t="shared" si="87"/>
        <v>1566.1578947368423</v>
      </c>
      <c r="BC162" s="225">
        <f t="shared" si="88"/>
        <v>0</v>
      </c>
      <c r="BD162" s="225">
        <f t="shared" si="89"/>
        <v>150.14999999999964</v>
      </c>
      <c r="BE162" s="225">
        <f t="shared" si="90"/>
        <v>-6851.9921052631607</v>
      </c>
      <c r="BF162" s="225">
        <f t="shared" si="91"/>
        <v>0</v>
      </c>
      <c r="BG162" s="225">
        <f t="shared" si="64"/>
        <v>0</v>
      </c>
      <c r="BH162" s="225">
        <f t="shared" si="65"/>
        <v>0</v>
      </c>
      <c r="BI162" s="225">
        <f t="shared" si="66"/>
        <v>7284.4199999999983</v>
      </c>
      <c r="BJ162" s="225">
        <f t="shared" si="67"/>
        <v>2067</v>
      </c>
      <c r="BK162" s="225">
        <f t="shared" si="68"/>
        <v>1625.8210526315791</v>
      </c>
      <c r="BL162" s="225">
        <f t="shared" si="69"/>
        <v>0</v>
      </c>
      <c r="BM162" s="225">
        <f t="shared" si="70"/>
        <v>572.90999999999963</v>
      </c>
      <c r="BN162" s="225">
        <f t="shared" si="92"/>
        <v>11550.151052631578</v>
      </c>
      <c r="BO162" s="225">
        <f t="shared" si="71"/>
        <v>0</v>
      </c>
      <c r="BP162" s="225"/>
      <c r="BQ162" s="225"/>
      <c r="BR162" s="225"/>
      <c r="BS162" s="225"/>
      <c r="BT162" s="225"/>
      <c r="BU162" s="225"/>
      <c r="BV162" s="225"/>
      <c r="BW162" s="225"/>
      <c r="BY162" s="176"/>
      <c r="BZ162" s="176"/>
      <c r="CA162" s="176"/>
      <c r="CB162" s="176"/>
      <c r="CC162" s="176"/>
      <c r="CD162" s="176"/>
      <c r="CE162" s="176"/>
      <c r="CF162" s="176"/>
      <c r="CH162" s="248"/>
      <c r="CI162" s="248"/>
      <c r="CJ162" s="248"/>
      <c r="CK162" s="248"/>
      <c r="CL162" s="248"/>
      <c r="CM162" s="248"/>
      <c r="CN162" s="248"/>
      <c r="CO162" s="248"/>
      <c r="CQ162" s="248"/>
      <c r="CR162" s="248"/>
      <c r="CS162" s="248"/>
      <c r="CT162" s="248"/>
      <c r="CU162" s="248"/>
      <c r="CV162" s="248"/>
      <c r="CW162" s="248"/>
      <c r="CX162" s="248"/>
      <c r="CY162" s="248"/>
      <c r="DA162" s="248"/>
      <c r="DB162" s="248"/>
      <c r="DC162" s="248"/>
      <c r="DD162" s="248"/>
      <c r="DE162" s="248"/>
      <c r="DF162" s="248"/>
      <c r="DG162" s="248"/>
      <c r="DH162" s="248"/>
      <c r="DJ162" s="179" t="e">
        <f>#REF!+((SUMIFS($F162:$AM162,$F$3:$AM$3,$DJ$7)*80%))+SUMIFS(#REF!,#REF!,$DJ$7)</f>
        <v>#REF!</v>
      </c>
      <c r="DK162" s="179">
        <f t="shared" si="72"/>
        <v>0</v>
      </c>
      <c r="DL162" s="173" t="e">
        <f t="shared" si="93"/>
        <v>#REF!</v>
      </c>
    </row>
    <row r="163" spans="1:116">
      <c r="A163" s="168">
        <v>2156</v>
      </c>
      <c r="B163" s="2">
        <v>143436</v>
      </c>
      <c r="C163" s="2" t="s">
        <v>363</v>
      </c>
      <c r="D163" s="30"/>
      <c r="E163" s="226"/>
      <c r="F163" s="176">
        <v>0</v>
      </c>
      <c r="G163" s="176">
        <v>0</v>
      </c>
      <c r="H163" s="176">
        <v>27592.5</v>
      </c>
      <c r="I163" s="176">
        <v>3120</v>
      </c>
      <c r="J163" s="176">
        <v>1118.6842105263158</v>
      </c>
      <c r="K163" s="176">
        <v>0</v>
      </c>
      <c r="L163" s="30">
        <f t="shared" si="73"/>
        <v>31831.184210526317</v>
      </c>
      <c r="M163" s="176">
        <f t="shared" si="74"/>
        <v>25464.947368421053</v>
      </c>
      <c r="N163" s="226"/>
      <c r="O163" s="176">
        <v>0</v>
      </c>
      <c r="P163" s="176">
        <v>0</v>
      </c>
      <c r="Q163" s="176">
        <v>27592.5</v>
      </c>
      <c r="R163" s="176">
        <v>2730</v>
      </c>
      <c r="S163" s="176">
        <v>1044.1052631578948</v>
      </c>
      <c r="T163" s="176">
        <v>0</v>
      </c>
      <c r="U163" s="176">
        <f t="shared" si="75"/>
        <v>31366.605263157893</v>
      </c>
      <c r="V163" s="176">
        <f t="shared" si="76"/>
        <v>25093.284210526315</v>
      </c>
      <c r="W163" s="226"/>
      <c r="X163" s="247"/>
      <c r="Y163" s="176">
        <v>0</v>
      </c>
      <c r="Z163" s="176">
        <v>24129.473684210523</v>
      </c>
      <c r="AA163" s="176">
        <v>2444.2105263157891</v>
      </c>
      <c r="AB163" s="176">
        <v>913.06371191135736</v>
      </c>
      <c r="AC163" s="176">
        <v>0</v>
      </c>
      <c r="AD163" s="176">
        <f t="shared" si="77"/>
        <v>27486.747922437669</v>
      </c>
      <c r="AE163" s="247">
        <f t="shared" si="78"/>
        <v>21989.398337950137</v>
      </c>
      <c r="AF163" s="226"/>
      <c r="AG163" s="247">
        <v>1544.3999999999999</v>
      </c>
      <c r="AH163" s="247">
        <v>1335.75</v>
      </c>
      <c r="AI163" s="247">
        <v>1273.2631578947367</v>
      </c>
      <c r="AJ163" s="226"/>
      <c r="AK163" s="247">
        <f t="shared" si="79"/>
        <v>1235.52</v>
      </c>
      <c r="AL163" s="247">
        <f t="shared" si="80"/>
        <v>1068.6000000000001</v>
      </c>
      <c r="AM163" s="247">
        <f t="shared" si="81"/>
        <v>1018.6105263157893</v>
      </c>
      <c r="AN163" s="225"/>
      <c r="AO163" s="225">
        <v>0</v>
      </c>
      <c r="AP163" s="225">
        <v>0</v>
      </c>
      <c r="AQ163" s="225">
        <v>27592.5</v>
      </c>
      <c r="AR163" s="225">
        <v>2730</v>
      </c>
      <c r="AS163" s="225">
        <v>1044.1052631578948</v>
      </c>
      <c r="AT163" s="225">
        <v>0</v>
      </c>
      <c r="AU163" s="225">
        <v>1376.7</v>
      </c>
      <c r="AV163" s="225">
        <f t="shared" si="82"/>
        <v>32743.305263157894</v>
      </c>
      <c r="AX163" s="225">
        <f t="shared" si="83"/>
        <v>0</v>
      </c>
      <c r="AY163" s="225">
        <f t="shared" si="84"/>
        <v>0</v>
      </c>
      <c r="AZ163" s="225">
        <f t="shared" si="85"/>
        <v>0</v>
      </c>
      <c r="BA163" s="225">
        <f t="shared" si="86"/>
        <v>-390</v>
      </c>
      <c r="BB163" s="225">
        <f t="shared" si="87"/>
        <v>-74.578947368421041</v>
      </c>
      <c r="BC163" s="225">
        <f t="shared" si="88"/>
        <v>0</v>
      </c>
      <c r="BD163" s="225">
        <f t="shared" si="89"/>
        <v>-167.69999999999982</v>
      </c>
      <c r="BE163" s="225">
        <f t="shared" si="90"/>
        <v>-632.27894736842086</v>
      </c>
      <c r="BF163" s="225">
        <f t="shared" si="91"/>
        <v>0</v>
      </c>
      <c r="BG163" s="225">
        <f t="shared" si="64"/>
        <v>0</v>
      </c>
      <c r="BH163" s="225">
        <f t="shared" si="65"/>
        <v>0</v>
      </c>
      <c r="BI163" s="225">
        <f t="shared" si="66"/>
        <v>5518.5</v>
      </c>
      <c r="BJ163" s="225">
        <f t="shared" si="67"/>
        <v>234</v>
      </c>
      <c r="BK163" s="225">
        <f t="shared" si="68"/>
        <v>149.15789473684208</v>
      </c>
      <c r="BL163" s="225">
        <f t="shared" si="69"/>
        <v>0</v>
      </c>
      <c r="BM163" s="225">
        <f t="shared" si="70"/>
        <v>141.18000000000006</v>
      </c>
      <c r="BN163" s="225">
        <f t="shared" si="92"/>
        <v>6042.8378947368419</v>
      </c>
      <c r="BO163" s="225">
        <f t="shared" si="71"/>
        <v>0</v>
      </c>
      <c r="BP163" s="225"/>
      <c r="BQ163" s="225"/>
      <c r="BR163" s="225"/>
      <c r="BS163" s="225"/>
      <c r="BT163" s="225"/>
      <c r="BU163" s="225"/>
      <c r="BV163" s="225"/>
      <c r="BW163" s="225"/>
      <c r="BY163" s="176"/>
      <c r="BZ163" s="176"/>
      <c r="CA163" s="176"/>
      <c r="CB163" s="176"/>
      <c r="CC163" s="176"/>
      <c r="CD163" s="176"/>
      <c r="CE163" s="176"/>
      <c r="CF163" s="176"/>
      <c r="CH163" s="248"/>
      <c r="CI163" s="248"/>
      <c r="CJ163" s="248"/>
      <c r="CK163" s="248"/>
      <c r="CL163" s="248"/>
      <c r="CM163" s="248"/>
      <c r="CN163" s="248"/>
      <c r="CO163" s="248"/>
      <c r="CQ163" s="248"/>
      <c r="CR163" s="248"/>
      <c r="CS163" s="248"/>
      <c r="CT163" s="248"/>
      <c r="CU163" s="248"/>
      <c r="CV163" s="248"/>
      <c r="CW163" s="248"/>
      <c r="CX163" s="248"/>
      <c r="CY163" s="248"/>
      <c r="DA163" s="248"/>
      <c r="DB163" s="248"/>
      <c r="DC163" s="248"/>
      <c r="DD163" s="248"/>
      <c r="DE163" s="248"/>
      <c r="DF163" s="248"/>
      <c r="DG163" s="248"/>
      <c r="DH163" s="248"/>
      <c r="DJ163" s="179" t="e">
        <f>#REF!+((SUMIFS($F163:$AM163,$F$3:$AM$3,$DJ$7)*80%))+SUMIFS(#REF!,#REF!,$DJ$7)</f>
        <v>#REF!</v>
      </c>
      <c r="DK163" s="179">
        <f t="shared" si="72"/>
        <v>0</v>
      </c>
      <c r="DL163" s="173" t="e">
        <f t="shared" si="93"/>
        <v>#REF!</v>
      </c>
    </row>
    <row r="164" spans="1:116">
      <c r="A164" s="168">
        <v>2198</v>
      </c>
      <c r="B164" s="2">
        <v>146817</v>
      </c>
      <c r="C164" s="2" t="s">
        <v>364</v>
      </c>
      <c r="D164" s="30"/>
      <c r="E164" s="226"/>
      <c r="F164" s="176">
        <v>0</v>
      </c>
      <c r="G164" s="176">
        <v>0</v>
      </c>
      <c r="H164" s="176">
        <v>0</v>
      </c>
      <c r="I164" s="176">
        <v>0</v>
      </c>
      <c r="J164" s="176">
        <v>0</v>
      </c>
      <c r="K164" s="176">
        <v>0</v>
      </c>
      <c r="L164" s="30">
        <f t="shared" si="73"/>
        <v>0</v>
      </c>
      <c r="M164" s="176">
        <f t="shared" si="74"/>
        <v>0</v>
      </c>
      <c r="N164" s="226"/>
      <c r="O164" s="176">
        <v>0</v>
      </c>
      <c r="P164" s="176">
        <v>0</v>
      </c>
      <c r="Q164" s="176">
        <v>0</v>
      </c>
      <c r="R164" s="176">
        <v>0</v>
      </c>
      <c r="S164" s="176">
        <v>0</v>
      </c>
      <c r="T164" s="176">
        <v>0</v>
      </c>
      <c r="U164" s="176">
        <f t="shared" si="75"/>
        <v>0</v>
      </c>
      <c r="V164" s="176">
        <f t="shared" si="76"/>
        <v>0</v>
      </c>
      <c r="W164" s="226"/>
      <c r="X164" s="247"/>
      <c r="Y164" s="176">
        <v>0</v>
      </c>
      <c r="Z164" s="176">
        <v>0</v>
      </c>
      <c r="AA164" s="176">
        <v>0</v>
      </c>
      <c r="AB164" s="176">
        <v>0</v>
      </c>
      <c r="AC164" s="176">
        <v>0</v>
      </c>
      <c r="AD164" s="176">
        <f t="shared" si="77"/>
        <v>0</v>
      </c>
      <c r="AE164" s="247">
        <f t="shared" si="78"/>
        <v>0</v>
      </c>
      <c r="AF164" s="226"/>
      <c r="AG164" s="247">
        <v>0</v>
      </c>
      <c r="AH164" s="247">
        <v>0</v>
      </c>
      <c r="AI164" s="247">
        <v>0</v>
      </c>
      <c r="AJ164" s="226"/>
      <c r="AK164" s="247">
        <f t="shared" si="79"/>
        <v>0</v>
      </c>
      <c r="AL164" s="247">
        <f t="shared" si="80"/>
        <v>0</v>
      </c>
      <c r="AM164" s="247">
        <f t="shared" si="81"/>
        <v>0</v>
      </c>
      <c r="AN164" s="225"/>
      <c r="AO164" s="225">
        <v>0</v>
      </c>
      <c r="AP164" s="225">
        <v>0</v>
      </c>
      <c r="AQ164" s="225">
        <v>0</v>
      </c>
      <c r="AR164" s="225">
        <v>0</v>
      </c>
      <c r="AS164" s="225">
        <v>0</v>
      </c>
      <c r="AT164" s="225">
        <v>0</v>
      </c>
      <c r="AU164" s="225">
        <v>0</v>
      </c>
      <c r="AV164" s="225">
        <f t="shared" si="82"/>
        <v>0</v>
      </c>
      <c r="AX164" s="225">
        <f t="shared" si="83"/>
        <v>0</v>
      </c>
      <c r="AY164" s="225">
        <f t="shared" si="84"/>
        <v>0</v>
      </c>
      <c r="AZ164" s="225">
        <f t="shared" si="85"/>
        <v>0</v>
      </c>
      <c r="BA164" s="225">
        <f t="shared" si="86"/>
        <v>0</v>
      </c>
      <c r="BB164" s="225">
        <f t="shared" si="87"/>
        <v>0</v>
      </c>
      <c r="BC164" s="225">
        <f t="shared" si="88"/>
        <v>0</v>
      </c>
      <c r="BD164" s="225">
        <f t="shared" si="89"/>
        <v>0</v>
      </c>
      <c r="BE164" s="225">
        <f t="shared" si="90"/>
        <v>0</v>
      </c>
      <c r="BF164" s="225">
        <f t="shared" si="91"/>
        <v>0</v>
      </c>
      <c r="BG164" s="225">
        <f t="shared" si="64"/>
        <v>0</v>
      </c>
      <c r="BH164" s="225">
        <f t="shared" si="65"/>
        <v>0</v>
      </c>
      <c r="BI164" s="225">
        <f t="shared" si="66"/>
        <v>0</v>
      </c>
      <c r="BJ164" s="225">
        <f t="shared" si="67"/>
        <v>0</v>
      </c>
      <c r="BK164" s="225">
        <f t="shared" si="68"/>
        <v>0</v>
      </c>
      <c r="BL164" s="225">
        <f t="shared" si="69"/>
        <v>0</v>
      </c>
      <c r="BM164" s="225">
        <f t="shared" si="70"/>
        <v>0</v>
      </c>
      <c r="BN164" s="225">
        <f t="shared" si="92"/>
        <v>0</v>
      </c>
      <c r="BO164" s="225">
        <f t="shared" si="71"/>
        <v>0</v>
      </c>
      <c r="BP164" s="225"/>
      <c r="BQ164" s="225"/>
      <c r="BR164" s="225"/>
      <c r="BS164" s="225"/>
      <c r="BT164" s="225"/>
      <c r="BU164" s="225"/>
      <c r="BV164" s="225"/>
      <c r="BW164" s="225"/>
      <c r="BY164" s="176"/>
      <c r="BZ164" s="176"/>
      <c r="CA164" s="176"/>
      <c r="CB164" s="176"/>
      <c r="CC164" s="176"/>
      <c r="CD164" s="176"/>
      <c r="CE164" s="176"/>
      <c r="CF164" s="176"/>
      <c r="CH164" s="248"/>
      <c r="CI164" s="248"/>
      <c r="CJ164" s="248"/>
      <c r="CK164" s="248"/>
      <c r="CL164" s="248"/>
      <c r="CM164" s="248"/>
      <c r="CN164" s="248"/>
      <c r="CO164" s="248"/>
      <c r="CQ164" s="248"/>
      <c r="CR164" s="248"/>
      <c r="CS164" s="248"/>
      <c r="CT164" s="248"/>
      <c r="CU164" s="248"/>
      <c r="CV164" s="248"/>
      <c r="CW164" s="248"/>
      <c r="CX164" s="248"/>
      <c r="CY164" s="248"/>
      <c r="DA164" s="248"/>
      <c r="DB164" s="248"/>
      <c r="DC164" s="248"/>
      <c r="DD164" s="248"/>
      <c r="DE164" s="248"/>
      <c r="DF164" s="248"/>
      <c r="DG164" s="248"/>
      <c r="DH164" s="248"/>
      <c r="DJ164" s="179" t="e">
        <f>#REF!+((SUMIFS($F164:$AM164,$F$3:$AM$3,$DJ$7)*80%))+SUMIFS(#REF!,#REF!,$DJ$7)</f>
        <v>#REF!</v>
      </c>
      <c r="DK164" s="179">
        <f t="shared" si="72"/>
        <v>0</v>
      </c>
      <c r="DL164" s="173" t="e">
        <f t="shared" si="93"/>
        <v>#REF!</v>
      </c>
    </row>
    <row r="165" spans="1:116">
      <c r="A165" s="168">
        <v>7001</v>
      </c>
      <c r="B165" s="2">
        <v>146858</v>
      </c>
      <c r="C165" s="2" t="s">
        <v>365</v>
      </c>
      <c r="D165" s="30"/>
      <c r="E165" s="226"/>
      <c r="F165" s="176">
        <v>0</v>
      </c>
      <c r="G165" s="176">
        <v>0</v>
      </c>
      <c r="H165" s="176">
        <v>0</v>
      </c>
      <c r="I165" s="176">
        <v>0</v>
      </c>
      <c r="J165" s="176">
        <v>0</v>
      </c>
      <c r="K165" s="176">
        <v>0</v>
      </c>
      <c r="L165" s="30">
        <f t="shared" si="73"/>
        <v>0</v>
      </c>
      <c r="M165" s="176">
        <f t="shared" si="74"/>
        <v>0</v>
      </c>
      <c r="N165" s="226"/>
      <c r="O165" s="176">
        <v>0</v>
      </c>
      <c r="P165" s="176">
        <v>0</v>
      </c>
      <c r="Q165" s="176">
        <v>0</v>
      </c>
      <c r="R165" s="176">
        <v>0</v>
      </c>
      <c r="S165" s="176">
        <v>0</v>
      </c>
      <c r="T165" s="176">
        <v>0</v>
      </c>
      <c r="U165" s="176">
        <f t="shared" si="75"/>
        <v>0</v>
      </c>
      <c r="V165" s="176">
        <f t="shared" si="76"/>
        <v>0</v>
      </c>
      <c r="W165" s="226"/>
      <c r="X165" s="247"/>
      <c r="Y165" s="176">
        <v>0</v>
      </c>
      <c r="Z165" s="176">
        <v>0</v>
      </c>
      <c r="AA165" s="176">
        <v>0</v>
      </c>
      <c r="AB165" s="176">
        <v>0</v>
      </c>
      <c r="AC165" s="176">
        <v>0</v>
      </c>
      <c r="AD165" s="176">
        <f t="shared" si="77"/>
        <v>0</v>
      </c>
      <c r="AE165" s="247">
        <f t="shared" si="78"/>
        <v>0</v>
      </c>
      <c r="AF165" s="226"/>
      <c r="AG165" s="247">
        <v>0</v>
      </c>
      <c r="AH165" s="247">
        <v>0</v>
      </c>
      <c r="AI165" s="247">
        <v>0</v>
      </c>
      <c r="AJ165" s="226"/>
      <c r="AK165" s="247">
        <f t="shared" si="79"/>
        <v>0</v>
      </c>
      <c r="AL165" s="247">
        <f t="shared" si="80"/>
        <v>0</v>
      </c>
      <c r="AM165" s="247">
        <f t="shared" si="81"/>
        <v>0</v>
      </c>
      <c r="AN165" s="225"/>
      <c r="AO165" s="225">
        <v>0</v>
      </c>
      <c r="AP165" s="225">
        <v>0</v>
      </c>
      <c r="AQ165" s="225">
        <v>0</v>
      </c>
      <c r="AR165" s="225">
        <v>0</v>
      </c>
      <c r="AS165" s="225">
        <v>0</v>
      </c>
      <c r="AT165" s="225">
        <v>0</v>
      </c>
      <c r="AU165" s="225">
        <v>0</v>
      </c>
      <c r="AV165" s="225">
        <f t="shared" si="82"/>
        <v>0</v>
      </c>
      <c r="AX165" s="225">
        <f t="shared" si="83"/>
        <v>0</v>
      </c>
      <c r="AY165" s="225">
        <f t="shared" si="84"/>
        <v>0</v>
      </c>
      <c r="AZ165" s="225">
        <f t="shared" si="85"/>
        <v>0</v>
      </c>
      <c r="BA165" s="225">
        <f t="shared" si="86"/>
        <v>0</v>
      </c>
      <c r="BB165" s="225">
        <f t="shared" si="87"/>
        <v>0</v>
      </c>
      <c r="BC165" s="225">
        <f t="shared" si="88"/>
        <v>0</v>
      </c>
      <c r="BD165" s="225">
        <f t="shared" si="89"/>
        <v>0</v>
      </c>
      <c r="BE165" s="225">
        <f t="shared" si="90"/>
        <v>0</v>
      </c>
      <c r="BF165" s="225">
        <f t="shared" si="91"/>
        <v>0</v>
      </c>
      <c r="BG165" s="225">
        <f t="shared" si="64"/>
        <v>0</v>
      </c>
      <c r="BH165" s="225">
        <f t="shared" si="65"/>
        <v>0</v>
      </c>
      <c r="BI165" s="225">
        <f t="shared" si="66"/>
        <v>0</v>
      </c>
      <c r="BJ165" s="225">
        <f t="shared" si="67"/>
        <v>0</v>
      </c>
      <c r="BK165" s="225">
        <f t="shared" si="68"/>
        <v>0</v>
      </c>
      <c r="BL165" s="225">
        <f t="shared" si="69"/>
        <v>0</v>
      </c>
      <c r="BM165" s="225">
        <f t="shared" si="70"/>
        <v>0</v>
      </c>
      <c r="BN165" s="225">
        <f t="shared" si="92"/>
        <v>0</v>
      </c>
      <c r="BO165" s="225">
        <f t="shared" si="71"/>
        <v>0</v>
      </c>
      <c r="BP165" s="225"/>
      <c r="BQ165" s="225"/>
      <c r="BR165" s="225"/>
      <c r="BS165" s="225"/>
      <c r="BT165" s="225"/>
      <c r="BU165" s="225"/>
      <c r="BV165" s="225"/>
      <c r="BW165" s="225"/>
      <c r="BY165" s="176"/>
      <c r="BZ165" s="176"/>
      <c r="CA165" s="176"/>
      <c r="CB165" s="176"/>
      <c r="CC165" s="176"/>
      <c r="CD165" s="176"/>
      <c r="CE165" s="176"/>
      <c r="CF165" s="176"/>
      <c r="CH165" s="248"/>
      <c r="CI165" s="248"/>
      <c r="CJ165" s="248"/>
      <c r="CK165" s="248"/>
      <c r="CL165" s="248"/>
      <c r="CM165" s="248"/>
      <c r="CN165" s="248"/>
      <c r="CO165" s="248"/>
      <c r="CQ165" s="248"/>
      <c r="CR165" s="248"/>
      <c r="CS165" s="248"/>
      <c r="CT165" s="248"/>
      <c r="CU165" s="248"/>
      <c r="CV165" s="248"/>
      <c r="CW165" s="248"/>
      <c r="CX165" s="248"/>
      <c r="CY165" s="248"/>
      <c r="DA165" s="248"/>
      <c r="DB165" s="248"/>
      <c r="DC165" s="248"/>
      <c r="DD165" s="248"/>
      <c r="DE165" s="248"/>
      <c r="DF165" s="248"/>
      <c r="DG165" s="248"/>
      <c r="DH165" s="248"/>
      <c r="DJ165" s="179" t="e">
        <f>#REF!+((SUMIFS($F165:$AM165,$F$3:$AM$3,$DJ$7)*80%))+SUMIFS(#REF!,#REF!,$DJ$7)</f>
        <v>#REF!</v>
      </c>
      <c r="DK165" s="179">
        <f t="shared" si="72"/>
        <v>0</v>
      </c>
      <c r="DL165" s="173" t="e">
        <f t="shared" si="93"/>
        <v>#REF!</v>
      </c>
    </row>
    <row r="166" spans="1:116">
      <c r="A166" s="168">
        <v>3004</v>
      </c>
      <c r="B166" s="2">
        <v>143439</v>
      </c>
      <c r="C166" s="2" t="s">
        <v>366</v>
      </c>
      <c r="D166" s="30"/>
      <c r="E166" s="226"/>
      <c r="F166" s="176">
        <v>0</v>
      </c>
      <c r="G166" s="176">
        <v>0</v>
      </c>
      <c r="H166" s="176">
        <v>0</v>
      </c>
      <c r="I166" s="176">
        <v>0</v>
      </c>
      <c r="J166" s="176">
        <v>0</v>
      </c>
      <c r="K166" s="176">
        <v>0</v>
      </c>
      <c r="L166" s="30">
        <f t="shared" si="73"/>
        <v>0</v>
      </c>
      <c r="M166" s="176">
        <f t="shared" si="74"/>
        <v>0</v>
      </c>
      <c r="N166" s="226"/>
      <c r="O166" s="176">
        <v>0</v>
      </c>
      <c r="P166" s="176">
        <v>0</v>
      </c>
      <c r="Q166" s="176">
        <v>0</v>
      </c>
      <c r="R166" s="176">
        <v>0</v>
      </c>
      <c r="S166" s="176">
        <v>0</v>
      </c>
      <c r="T166" s="176">
        <v>0</v>
      </c>
      <c r="U166" s="176">
        <f t="shared" si="75"/>
        <v>0</v>
      </c>
      <c r="V166" s="176">
        <f t="shared" si="76"/>
        <v>0</v>
      </c>
      <c r="W166" s="226"/>
      <c r="X166" s="247"/>
      <c r="Y166" s="176">
        <v>0</v>
      </c>
      <c r="Z166" s="176">
        <v>0</v>
      </c>
      <c r="AA166" s="176">
        <v>0</v>
      </c>
      <c r="AB166" s="176">
        <v>0</v>
      </c>
      <c r="AC166" s="176">
        <v>0</v>
      </c>
      <c r="AD166" s="176">
        <f t="shared" si="77"/>
        <v>0</v>
      </c>
      <c r="AE166" s="247">
        <f t="shared" si="78"/>
        <v>0</v>
      </c>
      <c r="AF166" s="226"/>
      <c r="AG166" s="247">
        <v>0</v>
      </c>
      <c r="AH166" s="247">
        <v>0</v>
      </c>
      <c r="AI166" s="247">
        <v>0</v>
      </c>
      <c r="AJ166" s="226"/>
      <c r="AK166" s="247">
        <f t="shared" si="79"/>
        <v>0</v>
      </c>
      <c r="AL166" s="247">
        <f t="shared" si="80"/>
        <v>0</v>
      </c>
      <c r="AM166" s="247">
        <f t="shared" si="81"/>
        <v>0</v>
      </c>
      <c r="AN166" s="225"/>
      <c r="AO166" s="225">
        <v>0</v>
      </c>
      <c r="AP166" s="225">
        <v>0</v>
      </c>
      <c r="AQ166" s="225">
        <v>0</v>
      </c>
      <c r="AR166" s="225">
        <v>0</v>
      </c>
      <c r="AS166" s="225">
        <v>0</v>
      </c>
      <c r="AT166" s="225">
        <v>0</v>
      </c>
      <c r="AU166" s="225">
        <v>0</v>
      </c>
      <c r="AV166" s="225">
        <f t="shared" si="82"/>
        <v>0</v>
      </c>
      <c r="AX166" s="225">
        <f t="shared" si="83"/>
        <v>0</v>
      </c>
      <c r="AY166" s="225">
        <f t="shared" si="84"/>
        <v>0</v>
      </c>
      <c r="AZ166" s="225">
        <f t="shared" si="85"/>
        <v>0</v>
      </c>
      <c r="BA166" s="225">
        <f t="shared" si="86"/>
        <v>0</v>
      </c>
      <c r="BB166" s="225">
        <f t="shared" si="87"/>
        <v>0</v>
      </c>
      <c r="BC166" s="225">
        <f t="shared" si="88"/>
        <v>0</v>
      </c>
      <c r="BD166" s="225">
        <f t="shared" si="89"/>
        <v>0</v>
      </c>
      <c r="BE166" s="225">
        <f t="shared" si="90"/>
        <v>0</v>
      </c>
      <c r="BF166" s="225">
        <f t="shared" si="91"/>
        <v>0</v>
      </c>
      <c r="BG166" s="225">
        <f t="shared" si="64"/>
        <v>0</v>
      </c>
      <c r="BH166" s="225">
        <f t="shared" si="65"/>
        <v>0</v>
      </c>
      <c r="BI166" s="225">
        <f t="shared" si="66"/>
        <v>0</v>
      </c>
      <c r="BJ166" s="225">
        <f t="shared" si="67"/>
        <v>0</v>
      </c>
      <c r="BK166" s="225">
        <f t="shared" si="68"/>
        <v>0</v>
      </c>
      <c r="BL166" s="225">
        <f t="shared" si="69"/>
        <v>0</v>
      </c>
      <c r="BM166" s="225">
        <f t="shared" si="70"/>
        <v>0</v>
      </c>
      <c r="BN166" s="225">
        <f t="shared" si="92"/>
        <v>0</v>
      </c>
      <c r="BO166" s="225">
        <f t="shared" si="71"/>
        <v>0</v>
      </c>
      <c r="BP166" s="225"/>
      <c r="BQ166" s="225"/>
      <c r="BR166" s="225"/>
      <c r="BS166" s="225"/>
      <c r="BT166" s="225"/>
      <c r="BU166" s="225"/>
      <c r="BV166" s="225"/>
      <c r="BW166" s="225"/>
      <c r="BY166" s="176"/>
      <c r="BZ166" s="176"/>
      <c r="CA166" s="176"/>
      <c r="CB166" s="176"/>
      <c r="CC166" s="176"/>
      <c r="CD166" s="176"/>
      <c r="CE166" s="176"/>
      <c r="CF166" s="176"/>
      <c r="CH166" s="248"/>
      <c r="CI166" s="248"/>
      <c r="CJ166" s="248"/>
      <c r="CK166" s="248"/>
      <c r="CL166" s="248"/>
      <c r="CM166" s="248"/>
      <c r="CN166" s="248"/>
      <c r="CO166" s="248"/>
      <c r="CQ166" s="248"/>
      <c r="CR166" s="248"/>
      <c r="CS166" s="248"/>
      <c r="CT166" s="248"/>
      <c r="CU166" s="248"/>
      <c r="CV166" s="248"/>
      <c r="CW166" s="248"/>
      <c r="CX166" s="248"/>
      <c r="CY166" s="248"/>
      <c r="DA166" s="248"/>
      <c r="DB166" s="248"/>
      <c r="DC166" s="248"/>
      <c r="DD166" s="248"/>
      <c r="DE166" s="248"/>
      <c r="DF166" s="248"/>
      <c r="DG166" s="248"/>
      <c r="DH166" s="248"/>
      <c r="DJ166" s="179" t="e">
        <f>#REF!+((SUMIFS($F166:$AM166,$F$3:$AM$3,$DJ$7)*80%))+SUMIFS(#REF!,#REF!,$DJ$7)</f>
        <v>#REF!</v>
      </c>
      <c r="DK166" s="179">
        <f t="shared" si="72"/>
        <v>0</v>
      </c>
      <c r="DL166" s="173" t="e">
        <f t="shared" si="93"/>
        <v>#REF!</v>
      </c>
    </row>
    <row r="167" spans="1:116">
      <c r="A167" s="168">
        <v>1107</v>
      </c>
      <c r="B167" s="2">
        <v>139671</v>
      </c>
      <c r="C167" s="2" t="s">
        <v>367</v>
      </c>
      <c r="D167" s="30"/>
      <c r="E167" s="226"/>
      <c r="F167" s="176">
        <v>0</v>
      </c>
      <c r="G167" s="176">
        <v>0</v>
      </c>
      <c r="H167" s="176">
        <v>0</v>
      </c>
      <c r="I167" s="176">
        <v>0</v>
      </c>
      <c r="J167" s="176">
        <v>0</v>
      </c>
      <c r="K167" s="176">
        <v>0</v>
      </c>
      <c r="L167" s="30">
        <f t="shared" si="73"/>
        <v>0</v>
      </c>
      <c r="M167" s="176">
        <f t="shared" si="74"/>
        <v>0</v>
      </c>
      <c r="N167" s="226"/>
      <c r="O167" s="176">
        <v>0</v>
      </c>
      <c r="P167" s="176">
        <v>0</v>
      </c>
      <c r="Q167" s="176">
        <v>0</v>
      </c>
      <c r="R167" s="176">
        <v>0</v>
      </c>
      <c r="S167" s="176">
        <v>0</v>
      </c>
      <c r="T167" s="176">
        <v>0</v>
      </c>
      <c r="U167" s="176">
        <f t="shared" si="75"/>
        <v>0</v>
      </c>
      <c r="V167" s="176">
        <f t="shared" si="76"/>
        <v>0</v>
      </c>
      <c r="W167" s="226"/>
      <c r="X167" s="247"/>
      <c r="Y167" s="176">
        <v>0</v>
      </c>
      <c r="Z167" s="176">
        <v>0</v>
      </c>
      <c r="AA167" s="176">
        <v>0</v>
      </c>
      <c r="AB167" s="176">
        <v>0</v>
      </c>
      <c r="AC167" s="176">
        <v>0</v>
      </c>
      <c r="AD167" s="176">
        <f t="shared" si="77"/>
        <v>0</v>
      </c>
      <c r="AE167" s="247">
        <f t="shared" si="78"/>
        <v>0</v>
      </c>
      <c r="AF167" s="226"/>
      <c r="AG167" s="247">
        <v>0</v>
      </c>
      <c r="AH167" s="247">
        <v>0</v>
      </c>
      <c r="AI167" s="247">
        <v>0</v>
      </c>
      <c r="AJ167" s="226"/>
      <c r="AK167" s="247">
        <f t="shared" si="79"/>
        <v>0</v>
      </c>
      <c r="AL167" s="247">
        <f t="shared" si="80"/>
        <v>0</v>
      </c>
      <c r="AM167" s="247">
        <f t="shared" si="81"/>
        <v>0</v>
      </c>
      <c r="AN167" s="225"/>
      <c r="AO167" s="225">
        <v>0</v>
      </c>
      <c r="AP167" s="225">
        <v>0</v>
      </c>
      <c r="AQ167" s="225">
        <v>0</v>
      </c>
      <c r="AR167" s="225">
        <v>0</v>
      </c>
      <c r="AS167" s="225">
        <v>0</v>
      </c>
      <c r="AT167" s="225">
        <v>0</v>
      </c>
      <c r="AU167" s="225">
        <v>0</v>
      </c>
      <c r="AV167" s="225">
        <f t="shared" si="82"/>
        <v>0</v>
      </c>
      <c r="AX167" s="225">
        <f t="shared" si="83"/>
        <v>0</v>
      </c>
      <c r="AY167" s="225">
        <f t="shared" si="84"/>
        <v>0</v>
      </c>
      <c r="AZ167" s="225">
        <f t="shared" si="85"/>
        <v>0</v>
      </c>
      <c r="BA167" s="225">
        <f t="shared" si="86"/>
        <v>0</v>
      </c>
      <c r="BB167" s="225">
        <f t="shared" si="87"/>
        <v>0</v>
      </c>
      <c r="BC167" s="225">
        <f t="shared" si="88"/>
        <v>0</v>
      </c>
      <c r="BD167" s="225">
        <f t="shared" si="89"/>
        <v>0</v>
      </c>
      <c r="BE167" s="225">
        <f t="shared" si="90"/>
        <v>0</v>
      </c>
      <c r="BF167" s="225">
        <f t="shared" si="91"/>
        <v>0</v>
      </c>
      <c r="BG167" s="225">
        <f t="shared" si="64"/>
        <v>0</v>
      </c>
      <c r="BH167" s="225">
        <f t="shared" si="65"/>
        <v>0</v>
      </c>
      <c r="BI167" s="225">
        <f t="shared" si="66"/>
        <v>0</v>
      </c>
      <c r="BJ167" s="225">
        <f t="shared" si="67"/>
        <v>0</v>
      </c>
      <c r="BK167" s="225">
        <f t="shared" si="68"/>
        <v>0</v>
      </c>
      <c r="BL167" s="225">
        <f t="shared" si="69"/>
        <v>0</v>
      </c>
      <c r="BM167" s="225">
        <f t="shared" si="70"/>
        <v>0</v>
      </c>
      <c r="BN167" s="225">
        <f t="shared" si="92"/>
        <v>0</v>
      </c>
      <c r="BO167" s="225">
        <f t="shared" si="71"/>
        <v>0</v>
      </c>
      <c r="BP167" s="225"/>
      <c r="BQ167" s="225"/>
      <c r="BR167" s="225"/>
      <c r="BS167" s="225"/>
      <c r="BT167" s="225"/>
      <c r="BU167" s="225"/>
      <c r="BV167" s="225"/>
      <c r="BW167" s="225"/>
      <c r="BY167" s="176"/>
      <c r="BZ167" s="176"/>
      <c r="CA167" s="176"/>
      <c r="CB167" s="176"/>
      <c r="CC167" s="176"/>
      <c r="CD167" s="176"/>
      <c r="CE167" s="176"/>
      <c r="CF167" s="176"/>
      <c r="CH167" s="248"/>
      <c r="CI167" s="248"/>
      <c r="CJ167" s="248"/>
      <c r="CK167" s="248"/>
      <c r="CL167" s="248"/>
      <c r="CM167" s="248"/>
      <c r="CN167" s="248"/>
      <c r="CO167" s="248"/>
      <c r="CQ167" s="248"/>
      <c r="CR167" s="248"/>
      <c r="CS167" s="248"/>
      <c r="CT167" s="248"/>
      <c r="CU167" s="248"/>
      <c r="CV167" s="248"/>
      <c r="CW167" s="248"/>
      <c r="CX167" s="248"/>
      <c r="CY167" s="248"/>
      <c r="DA167" s="248"/>
      <c r="DB167" s="248"/>
      <c r="DC167" s="248"/>
      <c r="DD167" s="248"/>
      <c r="DE167" s="248"/>
      <c r="DF167" s="248"/>
      <c r="DG167" s="248"/>
      <c r="DH167" s="248"/>
      <c r="DJ167" s="179" t="e">
        <f>#REF!+((SUMIFS($F167:$AM167,$F$3:$AM$3,$DJ$7)*80%))+SUMIFS(#REF!,#REF!,$DJ$7)</f>
        <v>#REF!</v>
      </c>
      <c r="DK167" s="179">
        <f t="shared" si="72"/>
        <v>0</v>
      </c>
      <c r="DL167" s="173" t="e">
        <f t="shared" si="93"/>
        <v>#REF!</v>
      </c>
    </row>
    <row r="168" spans="1:116">
      <c r="A168" s="168">
        <v>2080</v>
      </c>
      <c r="B168" s="2">
        <v>139002</v>
      </c>
      <c r="C168" s="2" t="s">
        <v>368</v>
      </c>
      <c r="D168" s="30"/>
      <c r="E168" s="226"/>
      <c r="F168" s="176">
        <v>0</v>
      </c>
      <c r="G168" s="176">
        <v>0</v>
      </c>
      <c r="H168" s="176">
        <v>0</v>
      </c>
      <c r="I168" s="176">
        <v>0</v>
      </c>
      <c r="J168" s="176">
        <v>0</v>
      </c>
      <c r="K168" s="176">
        <v>0</v>
      </c>
      <c r="L168" s="30">
        <f t="shared" si="73"/>
        <v>0</v>
      </c>
      <c r="M168" s="176">
        <f t="shared" si="74"/>
        <v>0</v>
      </c>
      <c r="N168" s="226"/>
      <c r="O168" s="176">
        <v>0</v>
      </c>
      <c r="P168" s="176">
        <v>0</v>
      </c>
      <c r="Q168" s="176">
        <v>0</v>
      </c>
      <c r="R168" s="176">
        <v>0</v>
      </c>
      <c r="S168" s="176">
        <v>0</v>
      </c>
      <c r="T168" s="176">
        <v>0</v>
      </c>
      <c r="U168" s="176">
        <f t="shared" si="75"/>
        <v>0</v>
      </c>
      <c r="V168" s="176">
        <f t="shared" si="76"/>
        <v>0</v>
      </c>
      <c r="W168" s="226"/>
      <c r="X168" s="247"/>
      <c r="Y168" s="176">
        <v>0</v>
      </c>
      <c r="Z168" s="176">
        <v>0</v>
      </c>
      <c r="AA168" s="176">
        <v>0</v>
      </c>
      <c r="AB168" s="176">
        <v>0</v>
      </c>
      <c r="AC168" s="176">
        <v>0</v>
      </c>
      <c r="AD168" s="176">
        <f t="shared" si="77"/>
        <v>0</v>
      </c>
      <c r="AE168" s="247">
        <f t="shared" si="78"/>
        <v>0</v>
      </c>
      <c r="AF168" s="226"/>
      <c r="AG168" s="247">
        <v>0</v>
      </c>
      <c r="AH168" s="247">
        <v>0</v>
      </c>
      <c r="AI168" s="247">
        <v>0</v>
      </c>
      <c r="AJ168" s="226"/>
      <c r="AK168" s="247">
        <f t="shared" si="79"/>
        <v>0</v>
      </c>
      <c r="AL168" s="247">
        <f t="shared" si="80"/>
        <v>0</v>
      </c>
      <c r="AM168" s="247">
        <f t="shared" si="81"/>
        <v>0</v>
      </c>
      <c r="AN168" s="225"/>
      <c r="AO168" s="225">
        <v>0</v>
      </c>
      <c r="AP168" s="225">
        <v>0</v>
      </c>
      <c r="AQ168" s="225">
        <v>0</v>
      </c>
      <c r="AR168" s="225">
        <v>0</v>
      </c>
      <c r="AS168" s="225">
        <v>0</v>
      </c>
      <c r="AT168" s="225">
        <v>0</v>
      </c>
      <c r="AU168" s="225">
        <v>0</v>
      </c>
      <c r="AV168" s="225">
        <f t="shared" si="82"/>
        <v>0</v>
      </c>
      <c r="AX168" s="225">
        <f t="shared" si="83"/>
        <v>0</v>
      </c>
      <c r="AY168" s="225">
        <f t="shared" si="84"/>
        <v>0</v>
      </c>
      <c r="AZ168" s="225">
        <f t="shared" si="85"/>
        <v>0</v>
      </c>
      <c r="BA168" s="225">
        <f t="shared" si="86"/>
        <v>0</v>
      </c>
      <c r="BB168" s="225">
        <f t="shared" si="87"/>
        <v>0</v>
      </c>
      <c r="BC168" s="225">
        <f t="shared" si="88"/>
        <v>0</v>
      </c>
      <c r="BD168" s="225">
        <f t="shared" si="89"/>
        <v>0</v>
      </c>
      <c r="BE168" s="225">
        <f t="shared" si="90"/>
        <v>0</v>
      </c>
      <c r="BF168" s="225">
        <f t="shared" si="91"/>
        <v>0</v>
      </c>
      <c r="BG168" s="225">
        <f t="shared" si="64"/>
        <v>0</v>
      </c>
      <c r="BH168" s="225">
        <f t="shared" si="65"/>
        <v>0</v>
      </c>
      <c r="BI168" s="225">
        <f t="shared" si="66"/>
        <v>0</v>
      </c>
      <c r="BJ168" s="225">
        <f t="shared" si="67"/>
        <v>0</v>
      </c>
      <c r="BK168" s="225">
        <f t="shared" si="68"/>
        <v>0</v>
      </c>
      <c r="BL168" s="225">
        <f t="shared" si="69"/>
        <v>0</v>
      </c>
      <c r="BM168" s="225">
        <f t="shared" si="70"/>
        <v>0</v>
      </c>
      <c r="BN168" s="225">
        <f t="shared" si="92"/>
        <v>0</v>
      </c>
      <c r="BO168" s="225">
        <f t="shared" si="71"/>
        <v>0</v>
      </c>
      <c r="BP168" s="225"/>
      <c r="BQ168" s="225"/>
      <c r="BR168" s="225"/>
      <c r="BS168" s="225"/>
      <c r="BT168" s="225"/>
      <c r="BU168" s="225"/>
      <c r="BV168" s="225"/>
      <c r="BW168" s="225"/>
      <c r="BY168" s="176"/>
      <c r="BZ168" s="176"/>
      <c r="CA168" s="176"/>
      <c r="CB168" s="176"/>
      <c r="CC168" s="176"/>
      <c r="CD168" s="176"/>
      <c r="CE168" s="176"/>
      <c r="CF168" s="176"/>
      <c r="CH168" s="248"/>
      <c r="CI168" s="248"/>
      <c r="CJ168" s="248"/>
      <c r="CK168" s="248"/>
      <c r="CL168" s="248"/>
      <c r="CM168" s="248"/>
      <c r="CN168" s="248"/>
      <c r="CO168" s="248"/>
      <c r="CQ168" s="248"/>
      <c r="CR168" s="248"/>
      <c r="CS168" s="248"/>
      <c r="CT168" s="248"/>
      <c r="CU168" s="248"/>
      <c r="CV168" s="248"/>
      <c r="CW168" s="248"/>
      <c r="CX168" s="248"/>
      <c r="CY168" s="248"/>
      <c r="DA168" s="248"/>
      <c r="DB168" s="248"/>
      <c r="DC168" s="248"/>
      <c r="DD168" s="248"/>
      <c r="DE168" s="248"/>
      <c r="DF168" s="248"/>
      <c r="DG168" s="248"/>
      <c r="DH168" s="248"/>
      <c r="DJ168" s="179" t="e">
        <f>#REF!+((SUMIFS($F168:$AM168,$F$3:$AM$3,$DJ$7)*80%))+SUMIFS(#REF!,#REF!,$DJ$7)</f>
        <v>#REF!</v>
      </c>
      <c r="DK168" s="179">
        <f t="shared" ref="DK168:DK199" si="94">(SUMIFS($F168:$AM168,$F$3:$AM$3,$DK$7)*80%)</f>
        <v>0</v>
      </c>
      <c r="DL168" s="173" t="e">
        <f t="shared" si="93"/>
        <v>#REF!</v>
      </c>
    </row>
    <row r="169" spans="1:116">
      <c r="A169" s="168">
        <v>2460</v>
      </c>
      <c r="B169" s="2">
        <v>140262</v>
      </c>
      <c r="C169" s="2" t="s">
        <v>369</v>
      </c>
      <c r="D169" s="30"/>
      <c r="E169" s="226"/>
      <c r="F169" s="176">
        <v>0</v>
      </c>
      <c r="G169" s="176">
        <v>0</v>
      </c>
      <c r="H169" s="176">
        <v>37525.800000000003</v>
      </c>
      <c r="I169" s="176">
        <v>2535</v>
      </c>
      <c r="J169" s="176">
        <v>969.52631578947376</v>
      </c>
      <c r="K169" s="176">
        <v>0</v>
      </c>
      <c r="L169" s="30">
        <f t="shared" si="73"/>
        <v>41030.326315789476</v>
      </c>
      <c r="M169" s="176">
        <f t="shared" si="74"/>
        <v>32824.261052631584</v>
      </c>
      <c r="N169" s="226"/>
      <c r="O169" s="176">
        <v>0</v>
      </c>
      <c r="P169" s="176">
        <v>0</v>
      </c>
      <c r="Q169" s="176">
        <v>23177.7</v>
      </c>
      <c r="R169" s="176">
        <v>1170</v>
      </c>
      <c r="S169" s="176">
        <v>447.47368421052636</v>
      </c>
      <c r="T169" s="176">
        <v>0</v>
      </c>
      <c r="U169" s="176">
        <f t="shared" si="75"/>
        <v>24795.173684210527</v>
      </c>
      <c r="V169" s="176">
        <f t="shared" si="76"/>
        <v>19836.138947368425</v>
      </c>
      <c r="W169" s="226"/>
      <c r="X169" s="247"/>
      <c r="Y169" s="176">
        <v>0</v>
      </c>
      <c r="Z169" s="176">
        <v>28633.642105263156</v>
      </c>
      <c r="AA169" s="176">
        <v>1591.5789473684208</v>
      </c>
      <c r="AB169" s="176">
        <v>608.70914127423816</v>
      </c>
      <c r="AC169" s="176">
        <v>0</v>
      </c>
      <c r="AD169" s="176">
        <f t="shared" si="77"/>
        <v>30833.930193905813</v>
      </c>
      <c r="AE169" s="247">
        <f t="shared" si="78"/>
        <v>24667.144155124653</v>
      </c>
      <c r="AF169" s="226"/>
      <c r="AG169" s="247">
        <v>124.8</v>
      </c>
      <c r="AH169" s="247">
        <v>165.75</v>
      </c>
      <c r="AI169" s="247">
        <v>116.5263157894737</v>
      </c>
      <c r="AJ169" s="226"/>
      <c r="AK169" s="247">
        <f t="shared" si="79"/>
        <v>99.84</v>
      </c>
      <c r="AL169" s="247">
        <f t="shared" si="80"/>
        <v>132.6</v>
      </c>
      <c r="AM169" s="247">
        <f t="shared" si="81"/>
        <v>93.221052631578971</v>
      </c>
      <c r="AN169" s="225"/>
      <c r="AO169" s="225">
        <v>0</v>
      </c>
      <c r="AP169" s="225">
        <v>0</v>
      </c>
      <c r="AQ169" s="225">
        <v>35318.400000000001</v>
      </c>
      <c r="AR169" s="225">
        <v>1950</v>
      </c>
      <c r="AS169" s="225">
        <v>745.78947368421052</v>
      </c>
      <c r="AT169" s="225">
        <v>0</v>
      </c>
      <c r="AU169" s="225">
        <v>253.5</v>
      </c>
      <c r="AV169" s="225">
        <f t="shared" si="82"/>
        <v>38267.689473684215</v>
      </c>
      <c r="AX169" s="225">
        <f t="shared" si="83"/>
        <v>0</v>
      </c>
      <c r="AY169" s="225">
        <f t="shared" si="84"/>
        <v>0</v>
      </c>
      <c r="AZ169" s="225">
        <f t="shared" si="85"/>
        <v>-2207.4000000000015</v>
      </c>
      <c r="BA169" s="225">
        <f t="shared" si="86"/>
        <v>-585</v>
      </c>
      <c r="BB169" s="225">
        <f t="shared" si="87"/>
        <v>-223.73684210526324</v>
      </c>
      <c r="BC169" s="225">
        <f t="shared" si="88"/>
        <v>0</v>
      </c>
      <c r="BD169" s="225">
        <f t="shared" si="89"/>
        <v>128.69999999999999</v>
      </c>
      <c r="BE169" s="225">
        <f t="shared" si="90"/>
        <v>-2887.436842105265</v>
      </c>
      <c r="BF169" s="225">
        <f t="shared" si="91"/>
        <v>0</v>
      </c>
      <c r="BG169" s="225">
        <f t="shared" si="64"/>
        <v>0</v>
      </c>
      <c r="BH169" s="225">
        <f t="shared" si="65"/>
        <v>0</v>
      </c>
      <c r="BI169" s="225">
        <f t="shared" si="66"/>
        <v>5297.7599999999984</v>
      </c>
      <c r="BJ169" s="225">
        <f t="shared" si="67"/>
        <v>-78</v>
      </c>
      <c r="BK169" s="225">
        <f t="shared" si="68"/>
        <v>-29.831578947368484</v>
      </c>
      <c r="BL169" s="225">
        <f t="shared" si="69"/>
        <v>0</v>
      </c>
      <c r="BM169" s="225">
        <f t="shared" si="70"/>
        <v>153.66</v>
      </c>
      <c r="BN169" s="225">
        <f t="shared" si="92"/>
        <v>5343.5884210526301</v>
      </c>
      <c r="BO169" s="225">
        <f t="shared" si="71"/>
        <v>0</v>
      </c>
      <c r="BP169" s="225"/>
      <c r="BQ169" s="225"/>
      <c r="BR169" s="225"/>
      <c r="BS169" s="225"/>
      <c r="BT169" s="225"/>
      <c r="BU169" s="225"/>
      <c r="BV169" s="225"/>
      <c r="BW169" s="225"/>
      <c r="BY169" s="176"/>
      <c r="BZ169" s="176"/>
      <c r="CA169" s="176"/>
      <c r="CB169" s="176"/>
      <c r="CC169" s="176"/>
      <c r="CD169" s="176"/>
      <c r="CE169" s="176"/>
      <c r="CF169" s="176"/>
      <c r="CH169" s="248"/>
      <c r="CI169" s="248"/>
      <c r="CJ169" s="248"/>
      <c r="CK169" s="248"/>
      <c r="CL169" s="248"/>
      <c r="CM169" s="248"/>
      <c r="CN169" s="248"/>
      <c r="CO169" s="248"/>
      <c r="CQ169" s="248"/>
      <c r="CR169" s="248"/>
      <c r="CS169" s="248"/>
      <c r="CT169" s="248"/>
      <c r="CU169" s="248"/>
      <c r="CV169" s="248"/>
      <c r="CW169" s="248"/>
      <c r="CX169" s="248"/>
      <c r="CY169" s="248"/>
      <c r="DA169" s="248"/>
      <c r="DB169" s="248"/>
      <c r="DC169" s="248"/>
      <c r="DD169" s="248"/>
      <c r="DE169" s="248"/>
      <c r="DF169" s="248"/>
      <c r="DG169" s="248"/>
      <c r="DH169" s="248"/>
      <c r="DJ169" s="179" t="e">
        <f>#REF!+((SUMIFS($F169:$AM169,$F$3:$AM$3,$DJ$7)*80%))+SUMIFS(#REF!,#REF!,$DJ$7)</f>
        <v>#REF!</v>
      </c>
      <c r="DK169" s="179">
        <f t="shared" si="94"/>
        <v>0</v>
      </c>
      <c r="DL169" s="173" t="e">
        <f t="shared" si="93"/>
        <v>#REF!</v>
      </c>
    </row>
    <row r="170" spans="1:116">
      <c r="A170" s="168">
        <v>4323</v>
      </c>
      <c r="B170" s="2">
        <v>138059</v>
      </c>
      <c r="C170" s="2" t="s">
        <v>370</v>
      </c>
      <c r="D170" s="30"/>
      <c r="E170" s="226"/>
      <c r="F170" s="176">
        <v>0</v>
      </c>
      <c r="G170" s="176">
        <v>0</v>
      </c>
      <c r="H170" s="176">
        <v>0</v>
      </c>
      <c r="I170" s="176">
        <v>0</v>
      </c>
      <c r="J170" s="176">
        <v>0</v>
      </c>
      <c r="K170" s="176">
        <v>0</v>
      </c>
      <c r="L170" s="30">
        <f t="shared" si="73"/>
        <v>0</v>
      </c>
      <c r="M170" s="176">
        <f t="shared" si="74"/>
        <v>0</v>
      </c>
      <c r="N170" s="226"/>
      <c r="O170" s="176">
        <v>0</v>
      </c>
      <c r="P170" s="176">
        <v>0</v>
      </c>
      <c r="Q170" s="176">
        <v>0</v>
      </c>
      <c r="R170" s="176">
        <v>0</v>
      </c>
      <c r="S170" s="176">
        <v>0</v>
      </c>
      <c r="T170" s="176">
        <v>0</v>
      </c>
      <c r="U170" s="176">
        <f t="shared" si="75"/>
        <v>0</v>
      </c>
      <c r="V170" s="176">
        <f t="shared" si="76"/>
        <v>0</v>
      </c>
      <c r="W170" s="226"/>
      <c r="X170" s="247"/>
      <c r="Y170" s="176">
        <v>0</v>
      </c>
      <c r="Z170" s="176">
        <v>0</v>
      </c>
      <c r="AA170" s="176">
        <v>0</v>
      </c>
      <c r="AB170" s="176">
        <v>0</v>
      </c>
      <c r="AC170" s="176">
        <v>0</v>
      </c>
      <c r="AD170" s="176">
        <f t="shared" si="77"/>
        <v>0</v>
      </c>
      <c r="AE170" s="247">
        <f t="shared" si="78"/>
        <v>0</v>
      </c>
      <c r="AF170" s="226"/>
      <c r="AG170" s="247">
        <v>0</v>
      </c>
      <c r="AH170" s="247">
        <v>0</v>
      </c>
      <c r="AI170" s="247">
        <v>0</v>
      </c>
      <c r="AJ170" s="226"/>
      <c r="AK170" s="247">
        <f t="shared" si="79"/>
        <v>0</v>
      </c>
      <c r="AL170" s="247">
        <f t="shared" si="80"/>
        <v>0</v>
      </c>
      <c r="AM170" s="247">
        <f t="shared" si="81"/>
        <v>0</v>
      </c>
      <c r="AN170" s="225"/>
      <c r="AO170" s="225">
        <v>0</v>
      </c>
      <c r="AP170" s="225">
        <v>0</v>
      </c>
      <c r="AQ170" s="225">
        <v>0</v>
      </c>
      <c r="AR170" s="225">
        <v>0</v>
      </c>
      <c r="AS170" s="225">
        <v>0</v>
      </c>
      <c r="AT170" s="225">
        <v>0</v>
      </c>
      <c r="AU170" s="225">
        <v>0</v>
      </c>
      <c r="AV170" s="225">
        <f t="shared" si="82"/>
        <v>0</v>
      </c>
      <c r="AX170" s="225">
        <f t="shared" si="83"/>
        <v>0</v>
      </c>
      <c r="AY170" s="225">
        <f t="shared" si="84"/>
        <v>0</v>
      </c>
      <c r="AZ170" s="225">
        <f t="shared" si="85"/>
        <v>0</v>
      </c>
      <c r="BA170" s="225">
        <f t="shared" si="86"/>
        <v>0</v>
      </c>
      <c r="BB170" s="225">
        <f t="shared" si="87"/>
        <v>0</v>
      </c>
      <c r="BC170" s="225">
        <f t="shared" si="88"/>
        <v>0</v>
      </c>
      <c r="BD170" s="225">
        <f t="shared" si="89"/>
        <v>0</v>
      </c>
      <c r="BE170" s="225">
        <f t="shared" si="90"/>
        <v>0</v>
      </c>
      <c r="BF170" s="225">
        <f t="shared" si="91"/>
        <v>0</v>
      </c>
      <c r="BG170" s="225">
        <f t="shared" si="64"/>
        <v>0</v>
      </c>
      <c r="BH170" s="225">
        <f t="shared" si="65"/>
        <v>0</v>
      </c>
      <c r="BI170" s="225">
        <f t="shared" si="66"/>
        <v>0</v>
      </c>
      <c r="BJ170" s="225">
        <f t="shared" si="67"/>
        <v>0</v>
      </c>
      <c r="BK170" s="225">
        <f t="shared" si="68"/>
        <v>0</v>
      </c>
      <c r="BL170" s="225">
        <f t="shared" si="69"/>
        <v>0</v>
      </c>
      <c r="BM170" s="225">
        <f t="shared" si="70"/>
        <v>0</v>
      </c>
      <c r="BN170" s="225">
        <f t="shared" si="92"/>
        <v>0</v>
      </c>
      <c r="BO170" s="225">
        <f t="shared" si="71"/>
        <v>0</v>
      </c>
      <c r="BP170" s="225"/>
      <c r="BQ170" s="225"/>
      <c r="BR170" s="225"/>
      <c r="BS170" s="225"/>
      <c r="BT170" s="225"/>
      <c r="BU170" s="225"/>
      <c r="BV170" s="225"/>
      <c r="BW170" s="225"/>
      <c r="BY170" s="176"/>
      <c r="BZ170" s="176"/>
      <c r="CA170" s="176"/>
      <c r="CB170" s="176"/>
      <c r="CC170" s="176"/>
      <c r="CD170" s="176"/>
      <c r="CE170" s="176"/>
      <c r="CF170" s="176"/>
      <c r="CH170" s="248"/>
      <c r="CI170" s="248"/>
      <c r="CJ170" s="248"/>
      <c r="CK170" s="248"/>
      <c r="CL170" s="248"/>
      <c r="CM170" s="248"/>
      <c r="CN170" s="248"/>
      <c r="CO170" s="248"/>
      <c r="CQ170" s="248"/>
      <c r="CR170" s="248"/>
      <c r="CS170" s="248"/>
      <c r="CT170" s="248"/>
      <c r="CU170" s="248"/>
      <c r="CV170" s="248"/>
      <c r="CW170" s="248"/>
      <c r="CX170" s="248"/>
      <c r="CY170" s="248"/>
      <c r="DA170" s="248"/>
      <c r="DB170" s="248"/>
      <c r="DC170" s="248"/>
      <c r="DD170" s="248"/>
      <c r="DE170" s="248"/>
      <c r="DF170" s="248"/>
      <c r="DG170" s="248"/>
      <c r="DH170" s="248"/>
      <c r="DJ170" s="179" t="e">
        <f>#REF!+((SUMIFS($F170:$AM170,$F$3:$AM$3,$DJ$7)*80%))+SUMIFS(#REF!,#REF!,$DJ$7)</f>
        <v>#REF!</v>
      </c>
      <c r="DK170" s="179">
        <f t="shared" si="94"/>
        <v>0</v>
      </c>
      <c r="DL170" s="173" t="e">
        <f t="shared" si="93"/>
        <v>#REF!</v>
      </c>
    </row>
    <row r="171" spans="1:116">
      <c r="A171" s="168">
        <v>2481</v>
      </c>
      <c r="B171" s="2">
        <v>137168</v>
      </c>
      <c r="C171" s="2" t="s">
        <v>371</v>
      </c>
      <c r="D171" s="30"/>
      <c r="E171" s="226"/>
      <c r="F171" s="176">
        <v>0</v>
      </c>
      <c r="G171" s="176">
        <v>0</v>
      </c>
      <c r="H171" s="176">
        <v>51873.9</v>
      </c>
      <c r="I171" s="176">
        <v>2535</v>
      </c>
      <c r="J171" s="176">
        <v>0</v>
      </c>
      <c r="K171" s="176">
        <v>0</v>
      </c>
      <c r="L171" s="30">
        <f t="shared" si="73"/>
        <v>54408.9</v>
      </c>
      <c r="M171" s="176">
        <f t="shared" si="74"/>
        <v>43527.12</v>
      </c>
      <c r="N171" s="226"/>
      <c r="O171" s="176">
        <v>0</v>
      </c>
      <c r="P171" s="176">
        <v>0</v>
      </c>
      <c r="Q171" s="176">
        <v>51873.9</v>
      </c>
      <c r="R171" s="176">
        <v>3705</v>
      </c>
      <c r="S171" s="176">
        <v>1267.8421052631579</v>
      </c>
      <c r="T171" s="176">
        <v>0</v>
      </c>
      <c r="U171" s="176">
        <f t="shared" si="75"/>
        <v>56846.742105263162</v>
      </c>
      <c r="V171" s="176">
        <f t="shared" si="76"/>
        <v>45477.393684210532</v>
      </c>
      <c r="W171" s="226"/>
      <c r="X171" s="247"/>
      <c r="Y171" s="176">
        <v>0</v>
      </c>
      <c r="Z171" s="176">
        <v>46650.31578947368</v>
      </c>
      <c r="AA171" s="176">
        <v>3865.2631578947367</v>
      </c>
      <c r="AB171" s="176">
        <v>673.92797783933509</v>
      </c>
      <c r="AC171" s="176">
        <v>0</v>
      </c>
      <c r="AD171" s="176">
        <f t="shared" si="77"/>
        <v>51189.506925207745</v>
      </c>
      <c r="AE171" s="247">
        <f t="shared" si="78"/>
        <v>40951.605540166202</v>
      </c>
      <c r="AF171" s="226"/>
      <c r="AG171" s="247">
        <v>659.1</v>
      </c>
      <c r="AH171" s="247">
        <v>690.3</v>
      </c>
      <c r="AI171" s="247">
        <v>608.21052631578948</v>
      </c>
      <c r="AJ171" s="226"/>
      <c r="AK171" s="247">
        <f t="shared" si="79"/>
        <v>527.28000000000009</v>
      </c>
      <c r="AL171" s="247">
        <f t="shared" si="80"/>
        <v>552.24</v>
      </c>
      <c r="AM171" s="247">
        <f t="shared" si="81"/>
        <v>486.56842105263161</v>
      </c>
      <c r="AN171" s="225"/>
      <c r="AO171" s="225">
        <v>0</v>
      </c>
      <c r="AP171" s="225">
        <v>0</v>
      </c>
      <c r="AQ171" s="225">
        <v>54081.3</v>
      </c>
      <c r="AR171" s="225">
        <v>3510</v>
      </c>
      <c r="AS171" s="225">
        <v>1342.421052631579</v>
      </c>
      <c r="AT171" s="225">
        <v>0</v>
      </c>
      <c r="AU171" s="225">
        <v>690.3</v>
      </c>
      <c r="AV171" s="225">
        <f t="shared" si="82"/>
        <v>59624.021052631586</v>
      </c>
      <c r="AX171" s="225">
        <f t="shared" si="83"/>
        <v>0</v>
      </c>
      <c r="AY171" s="225">
        <f t="shared" si="84"/>
        <v>0</v>
      </c>
      <c r="AZ171" s="225">
        <f t="shared" si="85"/>
        <v>2207.4000000000015</v>
      </c>
      <c r="BA171" s="225">
        <f t="shared" si="86"/>
        <v>975</v>
      </c>
      <c r="BB171" s="225">
        <f t="shared" si="87"/>
        <v>1342.421052631579</v>
      </c>
      <c r="BC171" s="225">
        <f t="shared" si="88"/>
        <v>0</v>
      </c>
      <c r="BD171" s="225">
        <f t="shared" si="89"/>
        <v>31.199999999999932</v>
      </c>
      <c r="BE171" s="225">
        <f t="shared" si="90"/>
        <v>4556.0210526315805</v>
      </c>
      <c r="BF171" s="225">
        <f t="shared" si="91"/>
        <v>0</v>
      </c>
      <c r="BG171" s="225">
        <f t="shared" si="64"/>
        <v>0</v>
      </c>
      <c r="BH171" s="225">
        <f t="shared" si="65"/>
        <v>0</v>
      </c>
      <c r="BI171" s="225">
        <f t="shared" si="66"/>
        <v>12582.18</v>
      </c>
      <c r="BJ171" s="225">
        <f t="shared" si="67"/>
        <v>1482</v>
      </c>
      <c r="BK171" s="225">
        <f t="shared" si="68"/>
        <v>1342.421052631579</v>
      </c>
      <c r="BL171" s="225">
        <f t="shared" si="69"/>
        <v>0</v>
      </c>
      <c r="BM171" s="225">
        <f t="shared" si="70"/>
        <v>163.01999999999987</v>
      </c>
      <c r="BN171" s="225">
        <f t="shared" si="92"/>
        <v>15569.621052631579</v>
      </c>
      <c r="BO171" s="225">
        <f t="shared" si="71"/>
        <v>0</v>
      </c>
      <c r="BP171" s="225"/>
      <c r="BQ171" s="225"/>
      <c r="BR171" s="225"/>
      <c r="BS171" s="225"/>
      <c r="BT171" s="225"/>
      <c r="BU171" s="225"/>
      <c r="BV171" s="225"/>
      <c r="BW171" s="225"/>
      <c r="BY171" s="176"/>
      <c r="BZ171" s="176"/>
      <c r="CA171" s="176"/>
      <c r="CB171" s="176"/>
      <c r="CC171" s="176"/>
      <c r="CD171" s="176"/>
      <c r="CE171" s="176"/>
      <c r="CF171" s="176"/>
      <c r="CH171" s="248"/>
      <c r="CI171" s="248"/>
      <c r="CJ171" s="248"/>
      <c r="CK171" s="248"/>
      <c r="CL171" s="248"/>
      <c r="CM171" s="248"/>
      <c r="CN171" s="248"/>
      <c r="CO171" s="248"/>
      <c r="CQ171" s="248"/>
      <c r="CR171" s="248"/>
      <c r="CS171" s="248"/>
      <c r="CT171" s="248"/>
      <c r="CU171" s="248"/>
      <c r="CV171" s="248"/>
      <c r="CW171" s="248"/>
      <c r="CX171" s="248"/>
      <c r="CY171" s="248"/>
      <c r="DA171" s="248"/>
      <c r="DB171" s="248"/>
      <c r="DC171" s="248"/>
      <c r="DD171" s="248"/>
      <c r="DE171" s="248"/>
      <c r="DF171" s="248"/>
      <c r="DG171" s="248"/>
      <c r="DH171" s="248"/>
      <c r="DJ171" s="179" t="e">
        <f>#REF!+((SUMIFS($F171:$AM171,$F$3:$AM$3,$DJ$7)*80%))+SUMIFS(#REF!,#REF!,$DJ$7)</f>
        <v>#REF!</v>
      </c>
      <c r="DK171" s="179">
        <f t="shared" si="94"/>
        <v>0</v>
      </c>
      <c r="DL171" s="173" t="e">
        <f t="shared" si="93"/>
        <v>#REF!</v>
      </c>
    </row>
    <row r="172" spans="1:116">
      <c r="A172" s="168">
        <v>2202</v>
      </c>
      <c r="B172" s="2">
        <v>147109</v>
      </c>
      <c r="C172" s="2" t="s">
        <v>372</v>
      </c>
      <c r="D172" s="30"/>
      <c r="E172" s="226"/>
      <c r="F172" s="176">
        <v>0</v>
      </c>
      <c r="G172" s="176">
        <v>0</v>
      </c>
      <c r="H172" s="176">
        <v>0</v>
      </c>
      <c r="I172" s="176">
        <v>0</v>
      </c>
      <c r="J172" s="176">
        <v>0</v>
      </c>
      <c r="K172" s="176">
        <v>0</v>
      </c>
      <c r="L172" s="30">
        <f t="shared" si="73"/>
        <v>0</v>
      </c>
      <c r="M172" s="176">
        <f t="shared" si="74"/>
        <v>0</v>
      </c>
      <c r="N172" s="226"/>
      <c r="O172" s="176">
        <v>0</v>
      </c>
      <c r="P172" s="176">
        <v>0</v>
      </c>
      <c r="Q172" s="176">
        <v>0</v>
      </c>
      <c r="R172" s="176">
        <v>0</v>
      </c>
      <c r="S172" s="176">
        <v>0</v>
      </c>
      <c r="T172" s="176">
        <v>0</v>
      </c>
      <c r="U172" s="176">
        <f t="shared" si="75"/>
        <v>0</v>
      </c>
      <c r="V172" s="176">
        <f t="shared" si="76"/>
        <v>0</v>
      </c>
      <c r="W172" s="226"/>
      <c r="X172" s="247"/>
      <c r="Y172" s="176">
        <v>0</v>
      </c>
      <c r="Z172" s="176">
        <v>0</v>
      </c>
      <c r="AA172" s="176">
        <v>0</v>
      </c>
      <c r="AB172" s="176">
        <v>0</v>
      </c>
      <c r="AC172" s="176">
        <v>0</v>
      </c>
      <c r="AD172" s="176">
        <f t="shared" si="77"/>
        <v>0</v>
      </c>
      <c r="AE172" s="247">
        <f t="shared" si="78"/>
        <v>0</v>
      </c>
      <c r="AF172" s="226"/>
      <c r="AG172" s="247">
        <v>0</v>
      </c>
      <c r="AH172" s="247">
        <v>0</v>
      </c>
      <c r="AI172" s="247">
        <v>0</v>
      </c>
      <c r="AJ172" s="226"/>
      <c r="AK172" s="247">
        <f t="shared" si="79"/>
        <v>0</v>
      </c>
      <c r="AL172" s="247">
        <f t="shared" si="80"/>
        <v>0</v>
      </c>
      <c r="AM172" s="247">
        <f t="shared" si="81"/>
        <v>0</v>
      </c>
      <c r="AN172" s="225"/>
      <c r="AO172" s="225">
        <v>0</v>
      </c>
      <c r="AP172" s="225">
        <v>0</v>
      </c>
      <c r="AQ172" s="225">
        <v>0</v>
      </c>
      <c r="AR172" s="225">
        <v>0</v>
      </c>
      <c r="AS172" s="225">
        <v>0</v>
      </c>
      <c r="AT172" s="225">
        <v>0</v>
      </c>
      <c r="AU172" s="225">
        <v>0</v>
      </c>
      <c r="AV172" s="225">
        <f t="shared" si="82"/>
        <v>0</v>
      </c>
      <c r="AX172" s="225">
        <f t="shared" si="83"/>
        <v>0</v>
      </c>
      <c r="AY172" s="225">
        <f t="shared" si="84"/>
        <v>0</v>
      </c>
      <c r="AZ172" s="225">
        <f t="shared" si="85"/>
        <v>0</v>
      </c>
      <c r="BA172" s="225">
        <f t="shared" si="86"/>
        <v>0</v>
      </c>
      <c r="BB172" s="225">
        <f t="shared" si="87"/>
        <v>0</v>
      </c>
      <c r="BC172" s="225">
        <f t="shared" si="88"/>
        <v>0</v>
      </c>
      <c r="BD172" s="225">
        <f t="shared" si="89"/>
        <v>0</v>
      </c>
      <c r="BE172" s="225">
        <f t="shared" si="90"/>
        <v>0</v>
      </c>
      <c r="BF172" s="225">
        <f t="shared" si="91"/>
        <v>0</v>
      </c>
      <c r="BG172" s="225">
        <f t="shared" si="64"/>
        <v>0</v>
      </c>
      <c r="BH172" s="225">
        <f t="shared" si="65"/>
        <v>0</v>
      </c>
      <c r="BI172" s="225">
        <f t="shared" si="66"/>
        <v>0</v>
      </c>
      <c r="BJ172" s="225">
        <f t="shared" si="67"/>
        <v>0</v>
      </c>
      <c r="BK172" s="225">
        <f t="shared" si="68"/>
        <v>0</v>
      </c>
      <c r="BL172" s="225">
        <f t="shared" si="69"/>
        <v>0</v>
      </c>
      <c r="BM172" s="225">
        <f t="shared" si="70"/>
        <v>0</v>
      </c>
      <c r="BN172" s="225">
        <f t="shared" si="92"/>
        <v>0</v>
      </c>
      <c r="BO172" s="225">
        <f t="shared" si="71"/>
        <v>0</v>
      </c>
      <c r="BP172" s="225"/>
      <c r="BQ172" s="225"/>
      <c r="BR172" s="225"/>
      <c r="BS172" s="225"/>
      <c r="BT172" s="225"/>
      <c r="BU172" s="225"/>
      <c r="BV172" s="225"/>
      <c r="BW172" s="225"/>
      <c r="BY172" s="176"/>
      <c r="BZ172" s="176"/>
      <c r="CA172" s="176"/>
      <c r="CB172" s="176"/>
      <c r="CC172" s="176"/>
      <c r="CD172" s="176"/>
      <c r="CE172" s="176"/>
      <c r="CF172" s="176"/>
      <c r="CH172" s="248"/>
      <c r="CI172" s="248"/>
      <c r="CJ172" s="248"/>
      <c r="CK172" s="248"/>
      <c r="CL172" s="248"/>
      <c r="CM172" s="248"/>
      <c r="CN172" s="248"/>
      <c r="CO172" s="248"/>
      <c r="CQ172" s="248"/>
      <c r="CR172" s="248"/>
      <c r="CS172" s="248"/>
      <c r="CT172" s="248"/>
      <c r="CU172" s="248"/>
      <c r="CV172" s="248"/>
      <c r="CW172" s="248"/>
      <c r="CX172" s="248"/>
      <c r="CY172" s="248"/>
      <c r="DA172" s="248"/>
      <c r="DB172" s="248"/>
      <c r="DC172" s="248"/>
      <c r="DD172" s="248"/>
      <c r="DE172" s="248"/>
      <c r="DF172" s="248"/>
      <c r="DG172" s="248"/>
      <c r="DH172" s="248"/>
      <c r="DJ172" s="179" t="e">
        <f>#REF!+((SUMIFS($F172:$AM172,$F$3:$AM$3,$DJ$7)*80%))+SUMIFS(#REF!,#REF!,$DJ$7)</f>
        <v>#REF!</v>
      </c>
      <c r="DK172" s="179">
        <f t="shared" si="94"/>
        <v>0</v>
      </c>
      <c r="DL172" s="173" t="e">
        <f t="shared" si="93"/>
        <v>#REF!</v>
      </c>
    </row>
    <row r="173" spans="1:116">
      <c r="A173" s="168">
        <v>3302</v>
      </c>
      <c r="B173" s="2">
        <v>147478</v>
      </c>
      <c r="C173" s="2" t="s">
        <v>373</v>
      </c>
      <c r="D173" s="30"/>
      <c r="E173" s="226"/>
      <c r="F173" s="176">
        <v>0</v>
      </c>
      <c r="G173" s="176">
        <v>0</v>
      </c>
      <c r="H173" s="176">
        <v>54081.3</v>
      </c>
      <c r="I173" s="176">
        <v>2535</v>
      </c>
      <c r="J173" s="176">
        <v>745.78947368421052</v>
      </c>
      <c r="K173" s="176">
        <v>0</v>
      </c>
      <c r="L173" s="30">
        <f t="shared" si="73"/>
        <v>57362.089473684217</v>
      </c>
      <c r="M173" s="176">
        <f t="shared" si="74"/>
        <v>45889.671578947375</v>
      </c>
      <c r="N173" s="226"/>
      <c r="O173" s="176">
        <v>0</v>
      </c>
      <c r="P173" s="176">
        <v>0</v>
      </c>
      <c r="Q173" s="176">
        <v>56288.700000000004</v>
      </c>
      <c r="R173" s="176">
        <v>1560</v>
      </c>
      <c r="S173" s="176">
        <v>596.63157894736844</v>
      </c>
      <c r="T173" s="176">
        <v>0</v>
      </c>
      <c r="U173" s="176">
        <f t="shared" si="75"/>
        <v>58445.331578947371</v>
      </c>
      <c r="V173" s="176">
        <f t="shared" si="76"/>
        <v>46756.265263157897</v>
      </c>
      <c r="W173" s="226"/>
      <c r="X173" s="247"/>
      <c r="Y173" s="176">
        <v>0</v>
      </c>
      <c r="Z173" s="176">
        <v>47615.494736842113</v>
      </c>
      <c r="AA173" s="176">
        <v>1875.7894736842106</v>
      </c>
      <c r="AB173" s="176">
        <v>608.70914127423816</v>
      </c>
      <c r="AC173" s="176">
        <v>0</v>
      </c>
      <c r="AD173" s="176">
        <f t="shared" si="77"/>
        <v>50099.993351800564</v>
      </c>
      <c r="AE173" s="247">
        <f t="shared" si="78"/>
        <v>40079.994681440454</v>
      </c>
      <c r="AF173" s="226"/>
      <c r="AG173" s="247">
        <v>805.34999999999991</v>
      </c>
      <c r="AH173" s="247">
        <v>939.9</v>
      </c>
      <c r="AI173" s="247">
        <v>727.01052631578943</v>
      </c>
      <c r="AJ173" s="226"/>
      <c r="AK173" s="247">
        <f t="shared" si="79"/>
        <v>644.28</v>
      </c>
      <c r="AL173" s="247">
        <f t="shared" si="80"/>
        <v>751.92000000000007</v>
      </c>
      <c r="AM173" s="247">
        <f t="shared" si="81"/>
        <v>581.60842105263157</v>
      </c>
      <c r="AN173" s="225"/>
      <c r="AO173" s="225">
        <v>0</v>
      </c>
      <c r="AP173" s="225">
        <v>0</v>
      </c>
      <c r="AQ173" s="225">
        <v>55185.000000000007</v>
      </c>
      <c r="AR173" s="225">
        <v>1560</v>
      </c>
      <c r="AS173" s="225">
        <v>596.63157894736844</v>
      </c>
      <c r="AT173" s="225">
        <v>0</v>
      </c>
      <c r="AU173" s="225">
        <v>820.94999999999993</v>
      </c>
      <c r="AV173" s="225">
        <f t="shared" si="82"/>
        <v>58162.581578947371</v>
      </c>
      <c r="AX173" s="225">
        <f t="shared" si="83"/>
        <v>0</v>
      </c>
      <c r="AY173" s="225">
        <f t="shared" si="84"/>
        <v>0</v>
      </c>
      <c r="AZ173" s="225">
        <f t="shared" si="85"/>
        <v>1103.7000000000044</v>
      </c>
      <c r="BA173" s="225">
        <f t="shared" si="86"/>
        <v>-975</v>
      </c>
      <c r="BB173" s="225">
        <f t="shared" si="87"/>
        <v>-149.15789473684208</v>
      </c>
      <c r="BC173" s="225">
        <f t="shared" si="88"/>
        <v>0</v>
      </c>
      <c r="BD173" s="225">
        <f t="shared" si="89"/>
        <v>15.600000000000023</v>
      </c>
      <c r="BE173" s="225">
        <f t="shared" si="90"/>
        <v>-4.857894736837693</v>
      </c>
      <c r="BF173" s="225">
        <f t="shared" si="91"/>
        <v>0</v>
      </c>
      <c r="BG173" s="225">
        <f t="shared" si="64"/>
        <v>0</v>
      </c>
      <c r="BH173" s="225">
        <f t="shared" si="65"/>
        <v>0</v>
      </c>
      <c r="BI173" s="225">
        <f t="shared" si="66"/>
        <v>11919.96</v>
      </c>
      <c r="BJ173" s="225">
        <f t="shared" si="67"/>
        <v>-468</v>
      </c>
      <c r="BK173" s="225">
        <f t="shared" si="68"/>
        <v>0</v>
      </c>
      <c r="BL173" s="225">
        <f t="shared" si="69"/>
        <v>0</v>
      </c>
      <c r="BM173" s="225">
        <f t="shared" si="70"/>
        <v>176.66999999999996</v>
      </c>
      <c r="BN173" s="225">
        <f t="shared" si="92"/>
        <v>11628.63</v>
      </c>
      <c r="BO173" s="225">
        <f t="shared" si="71"/>
        <v>0</v>
      </c>
      <c r="BP173" s="225"/>
      <c r="BQ173" s="225"/>
      <c r="BR173" s="225"/>
      <c r="BS173" s="225"/>
      <c r="BT173" s="225"/>
      <c r="BU173" s="225"/>
      <c r="BV173" s="225"/>
      <c r="BW173" s="225"/>
      <c r="BY173" s="176"/>
      <c r="BZ173" s="176"/>
      <c r="CA173" s="176"/>
      <c r="CB173" s="176"/>
      <c r="CC173" s="176"/>
      <c r="CD173" s="176"/>
      <c r="CE173" s="176"/>
      <c r="CF173" s="176"/>
      <c r="CH173" s="248"/>
      <c r="CI173" s="248"/>
      <c r="CJ173" s="248"/>
      <c r="CK173" s="248"/>
      <c r="CL173" s="248"/>
      <c r="CM173" s="248"/>
      <c r="CN173" s="248"/>
      <c r="CO173" s="248"/>
      <c r="CQ173" s="248"/>
      <c r="CR173" s="248"/>
      <c r="CS173" s="248"/>
      <c r="CT173" s="248"/>
      <c r="CU173" s="248"/>
      <c r="CV173" s="248"/>
      <c r="CW173" s="248"/>
      <c r="CX173" s="248"/>
      <c r="CY173" s="248"/>
      <c r="DA173" s="248"/>
      <c r="DB173" s="248"/>
      <c r="DC173" s="248"/>
      <c r="DD173" s="248"/>
      <c r="DE173" s="248"/>
      <c r="DF173" s="248"/>
      <c r="DG173" s="248"/>
      <c r="DH173" s="248"/>
      <c r="DJ173" s="179" t="e">
        <f>#REF!+((SUMIFS($F173:$AM173,$F$3:$AM$3,$DJ$7)*80%))+SUMIFS(#REF!,#REF!,$DJ$7)</f>
        <v>#REF!</v>
      </c>
      <c r="DK173" s="179">
        <f t="shared" si="94"/>
        <v>0</v>
      </c>
      <c r="DL173" s="173" t="e">
        <f t="shared" si="93"/>
        <v>#REF!</v>
      </c>
    </row>
    <row r="174" spans="1:116">
      <c r="A174" s="168">
        <v>4018</v>
      </c>
      <c r="B174" s="2">
        <v>141668</v>
      </c>
      <c r="C174" s="2" t="s">
        <v>374</v>
      </c>
      <c r="D174" s="30"/>
      <c r="E174" s="226"/>
      <c r="F174" s="176">
        <v>0</v>
      </c>
      <c r="G174" s="176">
        <v>0</v>
      </c>
      <c r="H174" s="176">
        <v>0</v>
      </c>
      <c r="I174" s="176">
        <v>0</v>
      </c>
      <c r="J174" s="176">
        <v>0</v>
      </c>
      <c r="K174" s="176">
        <v>0</v>
      </c>
      <c r="L174" s="30">
        <f t="shared" si="73"/>
        <v>0</v>
      </c>
      <c r="M174" s="176">
        <f t="shared" si="74"/>
        <v>0</v>
      </c>
      <c r="N174" s="226"/>
      <c r="O174" s="176">
        <v>0</v>
      </c>
      <c r="P174" s="176">
        <v>0</v>
      </c>
      <c r="Q174" s="176">
        <v>0</v>
      </c>
      <c r="R174" s="176">
        <v>0</v>
      </c>
      <c r="S174" s="176">
        <v>0</v>
      </c>
      <c r="T174" s="176">
        <v>0</v>
      </c>
      <c r="U174" s="176">
        <f t="shared" si="75"/>
        <v>0</v>
      </c>
      <c r="V174" s="176">
        <f t="shared" si="76"/>
        <v>0</v>
      </c>
      <c r="W174" s="226"/>
      <c r="X174" s="247"/>
      <c r="Y174" s="176">
        <v>0</v>
      </c>
      <c r="Z174" s="176">
        <v>0</v>
      </c>
      <c r="AA174" s="176">
        <v>0</v>
      </c>
      <c r="AB174" s="176">
        <v>0</v>
      </c>
      <c r="AC174" s="176">
        <v>0</v>
      </c>
      <c r="AD174" s="176">
        <f t="shared" si="77"/>
        <v>0</v>
      </c>
      <c r="AE174" s="247">
        <f t="shared" si="78"/>
        <v>0</v>
      </c>
      <c r="AF174" s="226"/>
      <c r="AG174" s="247">
        <v>0</v>
      </c>
      <c r="AH174" s="247">
        <v>0</v>
      </c>
      <c r="AI174" s="247">
        <v>0</v>
      </c>
      <c r="AJ174" s="226"/>
      <c r="AK174" s="247">
        <f t="shared" si="79"/>
        <v>0</v>
      </c>
      <c r="AL174" s="247">
        <f t="shared" si="80"/>
        <v>0</v>
      </c>
      <c r="AM174" s="247">
        <f t="shared" si="81"/>
        <v>0</v>
      </c>
      <c r="AN174" s="225"/>
      <c r="AO174" s="225">
        <v>0</v>
      </c>
      <c r="AP174" s="225">
        <v>0</v>
      </c>
      <c r="AQ174" s="225">
        <v>0</v>
      </c>
      <c r="AR174" s="225">
        <v>0</v>
      </c>
      <c r="AS174" s="225">
        <v>0</v>
      </c>
      <c r="AT174" s="225">
        <v>0</v>
      </c>
      <c r="AU174" s="225">
        <v>0</v>
      </c>
      <c r="AV174" s="225">
        <f t="shared" si="82"/>
        <v>0</v>
      </c>
      <c r="AX174" s="225">
        <f t="shared" si="83"/>
        <v>0</v>
      </c>
      <c r="AY174" s="225">
        <f t="shared" si="84"/>
        <v>0</v>
      </c>
      <c r="AZ174" s="225">
        <f t="shared" si="85"/>
        <v>0</v>
      </c>
      <c r="BA174" s="225">
        <f t="shared" si="86"/>
        <v>0</v>
      </c>
      <c r="BB174" s="225">
        <f t="shared" si="87"/>
        <v>0</v>
      </c>
      <c r="BC174" s="225">
        <f t="shared" si="88"/>
        <v>0</v>
      </c>
      <c r="BD174" s="225">
        <f t="shared" si="89"/>
        <v>0</v>
      </c>
      <c r="BE174" s="225">
        <f t="shared" si="90"/>
        <v>0</v>
      </c>
      <c r="BF174" s="225">
        <f t="shared" si="91"/>
        <v>0</v>
      </c>
      <c r="BG174" s="225">
        <f t="shared" si="64"/>
        <v>0</v>
      </c>
      <c r="BH174" s="225">
        <f t="shared" si="65"/>
        <v>0</v>
      </c>
      <c r="BI174" s="225">
        <f t="shared" si="66"/>
        <v>0</v>
      </c>
      <c r="BJ174" s="225">
        <f t="shared" si="67"/>
        <v>0</v>
      </c>
      <c r="BK174" s="225">
        <f t="shared" si="68"/>
        <v>0</v>
      </c>
      <c r="BL174" s="225">
        <f t="shared" si="69"/>
        <v>0</v>
      </c>
      <c r="BM174" s="225">
        <f t="shared" si="70"/>
        <v>0</v>
      </c>
      <c r="BN174" s="225">
        <f t="shared" si="92"/>
        <v>0</v>
      </c>
      <c r="BO174" s="225">
        <f t="shared" si="71"/>
        <v>0</v>
      </c>
      <c r="BP174" s="225"/>
      <c r="BQ174" s="225"/>
      <c r="BR174" s="225"/>
      <c r="BS174" s="225"/>
      <c r="BT174" s="225"/>
      <c r="BU174" s="225"/>
      <c r="BV174" s="225"/>
      <c r="BW174" s="225"/>
      <c r="BY174" s="176"/>
      <c r="BZ174" s="176"/>
      <c r="CA174" s="176"/>
      <c r="CB174" s="176"/>
      <c r="CC174" s="176"/>
      <c r="CD174" s="176"/>
      <c r="CE174" s="176"/>
      <c r="CF174" s="176"/>
      <c r="CH174" s="248"/>
      <c r="CI174" s="248"/>
      <c r="CJ174" s="248"/>
      <c r="CK174" s="248"/>
      <c r="CL174" s="248"/>
      <c r="CM174" s="248"/>
      <c r="CN174" s="248"/>
      <c r="CO174" s="248"/>
      <c r="CQ174" s="248"/>
      <c r="CR174" s="248"/>
      <c r="CS174" s="248"/>
      <c r="CT174" s="248"/>
      <c r="CU174" s="248"/>
      <c r="CV174" s="248"/>
      <c r="CW174" s="248"/>
      <c r="CX174" s="248"/>
      <c r="CY174" s="248"/>
      <c r="DA174" s="248"/>
      <c r="DB174" s="248"/>
      <c r="DC174" s="248"/>
      <c r="DD174" s="248"/>
      <c r="DE174" s="248"/>
      <c r="DF174" s="248"/>
      <c r="DG174" s="248"/>
      <c r="DH174" s="248"/>
      <c r="DJ174" s="179" t="e">
        <f>#REF!+((SUMIFS($F174:$AM174,$F$3:$AM$3,$DJ$7)*80%))+SUMIFS(#REF!,#REF!,$DJ$7)</f>
        <v>#REF!</v>
      </c>
      <c r="DK174" s="179">
        <f t="shared" si="94"/>
        <v>0</v>
      </c>
      <c r="DL174" s="173" t="e">
        <f t="shared" si="93"/>
        <v>#REF!</v>
      </c>
    </row>
    <row r="175" spans="1:116">
      <c r="A175" s="168">
        <v>2037</v>
      </c>
      <c r="B175" s="2">
        <v>138590</v>
      </c>
      <c r="C175" s="2" t="s">
        <v>375</v>
      </c>
      <c r="D175" s="30"/>
      <c r="E175" s="226"/>
      <c r="F175" s="176">
        <v>0</v>
      </c>
      <c r="G175" s="176">
        <v>0</v>
      </c>
      <c r="H175" s="176">
        <v>44148</v>
      </c>
      <c r="I175" s="176">
        <v>1560</v>
      </c>
      <c r="J175" s="176">
        <v>149.15789473684211</v>
      </c>
      <c r="K175" s="176">
        <v>0</v>
      </c>
      <c r="L175" s="30">
        <f t="shared" si="73"/>
        <v>45857.15789473684</v>
      </c>
      <c r="M175" s="176">
        <f t="shared" si="74"/>
        <v>36685.72631578947</v>
      </c>
      <c r="N175" s="226"/>
      <c r="O175" s="176">
        <v>0</v>
      </c>
      <c r="P175" s="176">
        <v>0</v>
      </c>
      <c r="Q175" s="176">
        <v>45251.7</v>
      </c>
      <c r="R175" s="176">
        <v>1950</v>
      </c>
      <c r="S175" s="176">
        <v>0</v>
      </c>
      <c r="T175" s="176">
        <v>0</v>
      </c>
      <c r="U175" s="176">
        <f t="shared" si="75"/>
        <v>47201.7</v>
      </c>
      <c r="V175" s="176">
        <f t="shared" si="76"/>
        <v>37761.360000000001</v>
      </c>
      <c r="W175" s="226"/>
      <c r="X175" s="247"/>
      <c r="Y175" s="176">
        <v>0</v>
      </c>
      <c r="Z175" s="176">
        <v>39250.610526315788</v>
      </c>
      <c r="AA175" s="176">
        <v>1477.8947368421054</v>
      </c>
      <c r="AB175" s="176">
        <v>65.21883656509695</v>
      </c>
      <c r="AC175" s="176">
        <v>0</v>
      </c>
      <c r="AD175" s="176">
        <f t="shared" si="77"/>
        <v>40793.724099722989</v>
      </c>
      <c r="AE175" s="247">
        <f t="shared" si="78"/>
        <v>32634.979279778392</v>
      </c>
      <c r="AF175" s="226"/>
      <c r="AG175" s="247">
        <v>419.25</v>
      </c>
      <c r="AH175" s="247">
        <v>366.6</v>
      </c>
      <c r="AI175" s="247">
        <v>351.28421052631575</v>
      </c>
      <c r="AJ175" s="226"/>
      <c r="AK175" s="247">
        <f t="shared" si="79"/>
        <v>335.40000000000003</v>
      </c>
      <c r="AL175" s="247">
        <f t="shared" si="80"/>
        <v>293.28000000000003</v>
      </c>
      <c r="AM175" s="247">
        <f t="shared" si="81"/>
        <v>281.02736842105259</v>
      </c>
      <c r="AN175" s="225"/>
      <c r="AO175" s="225">
        <v>0</v>
      </c>
      <c r="AP175" s="225">
        <v>0</v>
      </c>
      <c r="AQ175" s="225">
        <v>44148</v>
      </c>
      <c r="AR175" s="225">
        <v>1365</v>
      </c>
      <c r="AS175" s="225">
        <v>74.578947368421055</v>
      </c>
      <c r="AT175" s="225">
        <v>0</v>
      </c>
      <c r="AU175" s="225">
        <v>438.75</v>
      </c>
      <c r="AV175" s="225">
        <f t="shared" si="82"/>
        <v>46026.32894736842</v>
      </c>
      <c r="AX175" s="225">
        <f t="shared" si="83"/>
        <v>0</v>
      </c>
      <c r="AY175" s="225">
        <f t="shared" si="84"/>
        <v>0</v>
      </c>
      <c r="AZ175" s="225">
        <f t="shared" si="85"/>
        <v>0</v>
      </c>
      <c r="BA175" s="225">
        <f t="shared" si="86"/>
        <v>-195</v>
      </c>
      <c r="BB175" s="225">
        <f t="shared" si="87"/>
        <v>-74.578947368421055</v>
      </c>
      <c r="BC175" s="225">
        <f t="shared" si="88"/>
        <v>0</v>
      </c>
      <c r="BD175" s="225">
        <f t="shared" si="89"/>
        <v>19.5</v>
      </c>
      <c r="BE175" s="225">
        <f t="shared" si="90"/>
        <v>-250.07894736842104</v>
      </c>
      <c r="BF175" s="225">
        <f t="shared" si="91"/>
        <v>0</v>
      </c>
      <c r="BG175" s="225">
        <f t="shared" si="64"/>
        <v>0</v>
      </c>
      <c r="BH175" s="225">
        <f t="shared" si="65"/>
        <v>0</v>
      </c>
      <c r="BI175" s="225">
        <f t="shared" si="66"/>
        <v>8829.5999999999985</v>
      </c>
      <c r="BJ175" s="225">
        <f t="shared" si="67"/>
        <v>117</v>
      </c>
      <c r="BK175" s="225">
        <f t="shared" si="68"/>
        <v>-44.747368421052641</v>
      </c>
      <c r="BL175" s="225">
        <f t="shared" si="69"/>
        <v>0</v>
      </c>
      <c r="BM175" s="225">
        <f t="shared" si="70"/>
        <v>103.34999999999997</v>
      </c>
      <c r="BN175" s="225">
        <f t="shared" si="92"/>
        <v>9005.2026315789462</v>
      </c>
      <c r="BO175" s="225">
        <f t="shared" si="71"/>
        <v>0</v>
      </c>
      <c r="BP175" s="225"/>
      <c r="BQ175" s="225"/>
      <c r="BR175" s="225"/>
      <c r="BS175" s="225"/>
      <c r="BT175" s="225"/>
      <c r="BU175" s="225"/>
      <c r="BV175" s="225"/>
      <c r="BW175" s="225"/>
      <c r="BY175" s="176"/>
      <c r="BZ175" s="176"/>
      <c r="CA175" s="176"/>
      <c r="CB175" s="176"/>
      <c r="CC175" s="176"/>
      <c r="CD175" s="176"/>
      <c r="CE175" s="176"/>
      <c r="CF175" s="176"/>
      <c r="CH175" s="248"/>
      <c r="CI175" s="248"/>
      <c r="CJ175" s="248"/>
      <c r="CK175" s="248"/>
      <c r="CL175" s="248"/>
      <c r="CM175" s="248"/>
      <c r="CN175" s="248"/>
      <c r="CO175" s="248"/>
      <c r="CQ175" s="248"/>
      <c r="CR175" s="248"/>
      <c r="CS175" s="248"/>
      <c r="CT175" s="248"/>
      <c r="CU175" s="248"/>
      <c r="CV175" s="248"/>
      <c r="CW175" s="248"/>
      <c r="CX175" s="248"/>
      <c r="CY175" s="248"/>
      <c r="DA175" s="248"/>
      <c r="DB175" s="248"/>
      <c r="DC175" s="248"/>
      <c r="DD175" s="248"/>
      <c r="DE175" s="248"/>
      <c r="DF175" s="248"/>
      <c r="DG175" s="248"/>
      <c r="DH175" s="248"/>
      <c r="DJ175" s="179" t="e">
        <f>#REF!+((SUMIFS($F175:$AM175,$F$3:$AM$3,$DJ$7)*80%))+SUMIFS(#REF!,#REF!,$DJ$7)</f>
        <v>#REF!</v>
      </c>
      <c r="DK175" s="179">
        <f t="shared" si="94"/>
        <v>0</v>
      </c>
      <c r="DL175" s="173" t="e">
        <f t="shared" si="93"/>
        <v>#REF!</v>
      </c>
    </row>
    <row r="176" spans="1:116">
      <c r="A176" s="168">
        <v>4025</v>
      </c>
      <c r="B176" s="2">
        <v>144464</v>
      </c>
      <c r="C176" s="2" t="s">
        <v>376</v>
      </c>
      <c r="D176" s="30"/>
      <c r="E176" s="226"/>
      <c r="F176" s="176">
        <v>0</v>
      </c>
      <c r="G176" s="176">
        <v>0</v>
      </c>
      <c r="H176" s="176">
        <v>0</v>
      </c>
      <c r="I176" s="176">
        <v>0</v>
      </c>
      <c r="J176" s="176">
        <v>0</v>
      </c>
      <c r="K176" s="176">
        <v>0</v>
      </c>
      <c r="L176" s="30">
        <f t="shared" si="73"/>
        <v>0</v>
      </c>
      <c r="M176" s="176">
        <f t="shared" si="74"/>
        <v>0</v>
      </c>
      <c r="N176" s="226"/>
      <c r="O176" s="176">
        <v>0</v>
      </c>
      <c r="P176" s="176">
        <v>0</v>
      </c>
      <c r="Q176" s="176">
        <v>0</v>
      </c>
      <c r="R176" s="176">
        <v>0</v>
      </c>
      <c r="S176" s="176">
        <v>0</v>
      </c>
      <c r="T176" s="176">
        <v>0</v>
      </c>
      <c r="U176" s="176">
        <f t="shared" si="75"/>
        <v>0</v>
      </c>
      <c r="V176" s="176">
        <f t="shared" si="76"/>
        <v>0</v>
      </c>
      <c r="W176" s="226"/>
      <c r="X176" s="247"/>
      <c r="Y176" s="176">
        <v>0</v>
      </c>
      <c r="Z176" s="176">
        <v>0</v>
      </c>
      <c r="AA176" s="176">
        <v>0</v>
      </c>
      <c r="AB176" s="176">
        <v>0</v>
      </c>
      <c r="AC176" s="176">
        <v>0</v>
      </c>
      <c r="AD176" s="176">
        <f t="shared" si="77"/>
        <v>0</v>
      </c>
      <c r="AE176" s="247">
        <f t="shared" si="78"/>
        <v>0</v>
      </c>
      <c r="AF176" s="226"/>
      <c r="AG176" s="247">
        <v>0</v>
      </c>
      <c r="AH176" s="247">
        <v>0</v>
      </c>
      <c r="AI176" s="247">
        <v>0</v>
      </c>
      <c r="AJ176" s="226"/>
      <c r="AK176" s="247">
        <f t="shared" si="79"/>
        <v>0</v>
      </c>
      <c r="AL176" s="247">
        <f t="shared" si="80"/>
        <v>0</v>
      </c>
      <c r="AM176" s="247">
        <f t="shared" si="81"/>
        <v>0</v>
      </c>
      <c r="AN176" s="225"/>
      <c r="AO176" s="225">
        <v>0</v>
      </c>
      <c r="AP176" s="225">
        <v>0</v>
      </c>
      <c r="AQ176" s="225">
        <v>0</v>
      </c>
      <c r="AR176" s="225">
        <v>0</v>
      </c>
      <c r="AS176" s="225">
        <v>0</v>
      </c>
      <c r="AT176" s="225">
        <v>0</v>
      </c>
      <c r="AU176" s="225">
        <v>0</v>
      </c>
      <c r="AV176" s="225">
        <f t="shared" si="82"/>
        <v>0</v>
      </c>
      <c r="AX176" s="225">
        <f t="shared" si="83"/>
        <v>0</v>
      </c>
      <c r="AY176" s="225">
        <f t="shared" si="84"/>
        <v>0</v>
      </c>
      <c r="AZ176" s="225">
        <f t="shared" si="85"/>
        <v>0</v>
      </c>
      <c r="BA176" s="225">
        <f t="shared" si="86"/>
        <v>0</v>
      </c>
      <c r="BB176" s="225">
        <f t="shared" si="87"/>
        <v>0</v>
      </c>
      <c r="BC176" s="225">
        <f t="shared" si="88"/>
        <v>0</v>
      </c>
      <c r="BD176" s="225">
        <f t="shared" si="89"/>
        <v>0</v>
      </c>
      <c r="BE176" s="225">
        <f t="shared" si="90"/>
        <v>0</v>
      </c>
      <c r="BF176" s="225">
        <f t="shared" si="91"/>
        <v>0</v>
      </c>
      <c r="BG176" s="225">
        <f t="shared" si="64"/>
        <v>0</v>
      </c>
      <c r="BH176" s="225">
        <f t="shared" si="65"/>
        <v>0</v>
      </c>
      <c r="BI176" s="225">
        <f t="shared" si="66"/>
        <v>0</v>
      </c>
      <c r="BJ176" s="225">
        <f t="shared" si="67"/>
        <v>0</v>
      </c>
      <c r="BK176" s="225">
        <f t="shared" si="68"/>
        <v>0</v>
      </c>
      <c r="BL176" s="225">
        <f t="shared" si="69"/>
        <v>0</v>
      </c>
      <c r="BM176" s="225">
        <f t="shared" si="70"/>
        <v>0</v>
      </c>
      <c r="BN176" s="225">
        <f t="shared" si="92"/>
        <v>0</v>
      </c>
      <c r="BO176" s="225">
        <f t="shared" si="71"/>
        <v>0</v>
      </c>
      <c r="BP176" s="225"/>
      <c r="BQ176" s="225"/>
      <c r="BR176" s="225"/>
      <c r="BS176" s="225"/>
      <c r="BT176" s="225"/>
      <c r="BU176" s="225"/>
      <c r="BV176" s="225"/>
      <c r="BW176" s="225"/>
      <c r="BY176" s="176"/>
      <c r="BZ176" s="176"/>
      <c r="CA176" s="176"/>
      <c r="CB176" s="176"/>
      <c r="CC176" s="176"/>
      <c r="CD176" s="176"/>
      <c r="CE176" s="176"/>
      <c r="CF176" s="176"/>
      <c r="CH176" s="248"/>
      <c r="CI176" s="248"/>
      <c r="CJ176" s="248"/>
      <c r="CK176" s="248"/>
      <c r="CL176" s="248"/>
      <c r="CM176" s="248"/>
      <c r="CN176" s="248"/>
      <c r="CO176" s="248"/>
      <c r="CQ176" s="248"/>
      <c r="CR176" s="248"/>
      <c r="CS176" s="248"/>
      <c r="CT176" s="248"/>
      <c r="CU176" s="248"/>
      <c r="CV176" s="248"/>
      <c r="CW176" s="248"/>
      <c r="CX176" s="248"/>
      <c r="CY176" s="248"/>
      <c r="DA176" s="248"/>
      <c r="DB176" s="248"/>
      <c r="DC176" s="248"/>
      <c r="DD176" s="248"/>
      <c r="DE176" s="248"/>
      <c r="DF176" s="248"/>
      <c r="DG176" s="248"/>
      <c r="DH176" s="248"/>
      <c r="DJ176" s="179" t="e">
        <f>#REF!+((SUMIFS($F176:$AM176,$F$3:$AM$3,$DJ$7)*80%))+SUMIFS(#REF!,#REF!,$DJ$7)</f>
        <v>#REF!</v>
      </c>
      <c r="DK176" s="179">
        <f t="shared" si="94"/>
        <v>0</v>
      </c>
      <c r="DL176" s="173" t="e">
        <f t="shared" si="93"/>
        <v>#REF!</v>
      </c>
    </row>
    <row r="177" spans="1:116">
      <c r="A177" s="168">
        <v>2181</v>
      </c>
      <c r="B177" s="2">
        <v>144722</v>
      </c>
      <c r="C177" s="2" t="s">
        <v>377</v>
      </c>
      <c r="D177" s="30"/>
      <c r="E177" s="226"/>
      <c r="F177" s="176">
        <v>0</v>
      </c>
      <c r="G177" s="176">
        <v>0</v>
      </c>
      <c r="H177" s="176">
        <v>27592.5</v>
      </c>
      <c r="I177" s="176">
        <v>0</v>
      </c>
      <c r="J177" s="176">
        <v>0</v>
      </c>
      <c r="K177" s="176">
        <v>0</v>
      </c>
      <c r="L177" s="30">
        <f t="shared" si="73"/>
        <v>27592.5</v>
      </c>
      <c r="M177" s="176">
        <f t="shared" si="74"/>
        <v>22074</v>
      </c>
      <c r="N177" s="226"/>
      <c r="O177" s="176">
        <v>0</v>
      </c>
      <c r="P177" s="176">
        <v>0</v>
      </c>
      <c r="Q177" s="176">
        <v>23177.7</v>
      </c>
      <c r="R177" s="176">
        <v>0</v>
      </c>
      <c r="S177" s="176">
        <v>0</v>
      </c>
      <c r="T177" s="176">
        <v>0</v>
      </c>
      <c r="U177" s="176">
        <f t="shared" si="75"/>
        <v>23177.7</v>
      </c>
      <c r="V177" s="176">
        <f t="shared" si="76"/>
        <v>18542.16</v>
      </c>
      <c r="W177" s="226"/>
      <c r="X177" s="247"/>
      <c r="Y177" s="176">
        <v>0</v>
      </c>
      <c r="Z177" s="176">
        <v>23164.294736842108</v>
      </c>
      <c r="AA177" s="176">
        <v>0</v>
      </c>
      <c r="AB177" s="176">
        <v>0</v>
      </c>
      <c r="AC177" s="176">
        <v>0</v>
      </c>
      <c r="AD177" s="176">
        <f t="shared" si="77"/>
        <v>23164.294736842108</v>
      </c>
      <c r="AE177" s="247">
        <f t="shared" si="78"/>
        <v>18531.435789473686</v>
      </c>
      <c r="AF177" s="226"/>
      <c r="AG177" s="247">
        <v>440.7</v>
      </c>
      <c r="AH177" s="247">
        <v>202.79999999999998</v>
      </c>
      <c r="AI177" s="247">
        <v>290.46315789473681</v>
      </c>
      <c r="AJ177" s="226"/>
      <c r="AK177" s="247">
        <f t="shared" si="79"/>
        <v>352.56</v>
      </c>
      <c r="AL177" s="247">
        <f t="shared" si="80"/>
        <v>162.24</v>
      </c>
      <c r="AM177" s="247">
        <f t="shared" si="81"/>
        <v>232.37052631578945</v>
      </c>
      <c r="AN177" s="225"/>
      <c r="AO177" s="225">
        <v>0</v>
      </c>
      <c r="AP177" s="225">
        <v>0</v>
      </c>
      <c r="AQ177" s="225">
        <v>25385.100000000002</v>
      </c>
      <c r="AR177" s="225">
        <v>0</v>
      </c>
      <c r="AS177" s="225">
        <v>0</v>
      </c>
      <c r="AT177" s="225">
        <v>0</v>
      </c>
      <c r="AU177" s="225">
        <v>202.79999999999998</v>
      </c>
      <c r="AV177" s="225">
        <f t="shared" si="82"/>
        <v>25587.9</v>
      </c>
      <c r="AX177" s="225">
        <f t="shared" si="83"/>
        <v>0</v>
      </c>
      <c r="AY177" s="225">
        <f t="shared" si="84"/>
        <v>0</v>
      </c>
      <c r="AZ177" s="225">
        <f t="shared" si="85"/>
        <v>-2207.3999999999978</v>
      </c>
      <c r="BA177" s="225">
        <f t="shared" si="86"/>
        <v>0</v>
      </c>
      <c r="BB177" s="225">
        <f t="shared" si="87"/>
        <v>0</v>
      </c>
      <c r="BC177" s="225">
        <f t="shared" si="88"/>
        <v>0</v>
      </c>
      <c r="BD177" s="225">
        <f t="shared" si="89"/>
        <v>-237.9</v>
      </c>
      <c r="BE177" s="225">
        <f t="shared" si="90"/>
        <v>-2445.2999999999979</v>
      </c>
      <c r="BF177" s="225">
        <f t="shared" si="91"/>
        <v>0</v>
      </c>
      <c r="BG177" s="225">
        <f t="shared" si="64"/>
        <v>0</v>
      </c>
      <c r="BH177" s="225">
        <f t="shared" si="65"/>
        <v>0</v>
      </c>
      <c r="BI177" s="225">
        <f t="shared" si="66"/>
        <v>3311.1000000000022</v>
      </c>
      <c r="BJ177" s="225">
        <f t="shared" si="67"/>
        <v>0</v>
      </c>
      <c r="BK177" s="225">
        <f t="shared" si="68"/>
        <v>0</v>
      </c>
      <c r="BL177" s="225">
        <f t="shared" si="69"/>
        <v>0</v>
      </c>
      <c r="BM177" s="225">
        <f t="shared" si="70"/>
        <v>-149.76000000000002</v>
      </c>
      <c r="BN177" s="225">
        <f t="shared" si="92"/>
        <v>3161.340000000002</v>
      </c>
      <c r="BO177" s="225">
        <f t="shared" si="71"/>
        <v>0</v>
      </c>
      <c r="BP177" s="225"/>
      <c r="BQ177" s="225"/>
      <c r="BR177" s="225"/>
      <c r="BS177" s="225"/>
      <c r="BT177" s="225"/>
      <c r="BU177" s="225"/>
      <c r="BV177" s="225"/>
      <c r="BW177" s="225"/>
      <c r="BY177" s="176"/>
      <c r="BZ177" s="176"/>
      <c r="CA177" s="176"/>
      <c r="CB177" s="176"/>
      <c r="CC177" s="176"/>
      <c r="CD177" s="176"/>
      <c r="CE177" s="176"/>
      <c r="CF177" s="176"/>
      <c r="CH177" s="248"/>
      <c r="CI177" s="248"/>
      <c r="CJ177" s="248"/>
      <c r="CK177" s="248"/>
      <c r="CL177" s="248"/>
      <c r="CM177" s="248"/>
      <c r="CN177" s="248"/>
      <c r="CO177" s="248"/>
      <c r="CQ177" s="248"/>
      <c r="CR177" s="248"/>
      <c r="CS177" s="248"/>
      <c r="CT177" s="248"/>
      <c r="CU177" s="248"/>
      <c r="CV177" s="248"/>
      <c r="CW177" s="248"/>
      <c r="CX177" s="248"/>
      <c r="CY177" s="248"/>
      <c r="DA177" s="248"/>
      <c r="DB177" s="248"/>
      <c r="DC177" s="248"/>
      <c r="DD177" s="248"/>
      <c r="DE177" s="248"/>
      <c r="DF177" s="248"/>
      <c r="DG177" s="248"/>
      <c r="DH177" s="248"/>
      <c r="DJ177" s="179" t="e">
        <f>#REF!+((SUMIFS($F177:$AM177,$F$3:$AM$3,$DJ$7)*80%))+SUMIFS(#REF!,#REF!,$DJ$7)</f>
        <v>#REF!</v>
      </c>
      <c r="DK177" s="179">
        <f t="shared" si="94"/>
        <v>0</v>
      </c>
      <c r="DL177" s="173" t="e">
        <f t="shared" si="93"/>
        <v>#REF!</v>
      </c>
    </row>
    <row r="178" spans="1:116">
      <c r="A178" s="168">
        <v>2187</v>
      </c>
      <c r="B178" s="2">
        <v>146268</v>
      </c>
      <c r="C178" s="2" t="s">
        <v>378</v>
      </c>
      <c r="D178" s="30"/>
      <c r="E178" s="226"/>
      <c r="F178" s="176">
        <v>0</v>
      </c>
      <c r="G178" s="176">
        <v>0</v>
      </c>
      <c r="H178" s="176">
        <v>56288.700000000004</v>
      </c>
      <c r="I178" s="176">
        <v>2340</v>
      </c>
      <c r="J178" s="176">
        <v>223.73684210526318</v>
      </c>
      <c r="K178" s="176">
        <v>0</v>
      </c>
      <c r="L178" s="30">
        <f t="shared" si="73"/>
        <v>58852.436842105264</v>
      </c>
      <c r="M178" s="176">
        <f t="shared" si="74"/>
        <v>47081.949473684217</v>
      </c>
      <c r="N178" s="226"/>
      <c r="O178" s="176">
        <v>0</v>
      </c>
      <c r="P178" s="176">
        <v>0</v>
      </c>
      <c r="Q178" s="176">
        <v>30903.599999999999</v>
      </c>
      <c r="R178" s="176">
        <v>1170</v>
      </c>
      <c r="S178" s="176">
        <v>0</v>
      </c>
      <c r="T178" s="176">
        <v>0</v>
      </c>
      <c r="U178" s="176">
        <f t="shared" si="75"/>
        <v>32073.599999999999</v>
      </c>
      <c r="V178" s="176">
        <f t="shared" si="76"/>
        <v>25658.880000000001</v>
      </c>
      <c r="W178" s="226"/>
      <c r="X178" s="247"/>
      <c r="Y178" s="176">
        <v>0</v>
      </c>
      <c r="Z178" s="176">
        <v>39894.063157894736</v>
      </c>
      <c r="AA178" s="176">
        <v>1477.8947368421054</v>
      </c>
      <c r="AB178" s="176">
        <v>130.4376731301939</v>
      </c>
      <c r="AC178" s="176">
        <v>0</v>
      </c>
      <c r="AD178" s="176">
        <f t="shared" si="77"/>
        <v>41502.395567867039</v>
      </c>
      <c r="AE178" s="247">
        <f t="shared" si="78"/>
        <v>33201.916454293634</v>
      </c>
      <c r="AF178" s="226"/>
      <c r="AG178" s="247">
        <v>1156.3500000000001</v>
      </c>
      <c r="AH178" s="247">
        <v>774.14999999999986</v>
      </c>
      <c r="AI178" s="247">
        <v>878.77894736842097</v>
      </c>
      <c r="AJ178" s="226"/>
      <c r="AK178" s="247">
        <f t="shared" si="79"/>
        <v>925.08000000000015</v>
      </c>
      <c r="AL178" s="247">
        <f t="shared" si="80"/>
        <v>619.31999999999994</v>
      </c>
      <c r="AM178" s="247">
        <f t="shared" si="81"/>
        <v>703.02315789473687</v>
      </c>
      <c r="AN178" s="225"/>
      <c r="AO178" s="225">
        <v>0</v>
      </c>
      <c r="AP178" s="225">
        <v>0</v>
      </c>
      <c r="AQ178" s="225">
        <v>54081.299999999996</v>
      </c>
      <c r="AR178" s="225">
        <v>2145</v>
      </c>
      <c r="AS178" s="225">
        <v>74.578947368421055</v>
      </c>
      <c r="AT178" s="225">
        <v>320.89</v>
      </c>
      <c r="AU178" s="225">
        <v>1234.3499999999999</v>
      </c>
      <c r="AV178" s="225">
        <f t="shared" si="82"/>
        <v>57856.118947368414</v>
      </c>
      <c r="AX178" s="225">
        <f t="shared" si="83"/>
        <v>0</v>
      </c>
      <c r="AY178" s="225">
        <f t="shared" si="84"/>
        <v>0</v>
      </c>
      <c r="AZ178" s="225">
        <f t="shared" si="85"/>
        <v>-2207.4000000000087</v>
      </c>
      <c r="BA178" s="225">
        <f t="shared" si="86"/>
        <v>-195</v>
      </c>
      <c r="BB178" s="225">
        <f t="shared" si="87"/>
        <v>-149.15789473684214</v>
      </c>
      <c r="BC178" s="225">
        <f t="shared" si="88"/>
        <v>320.89</v>
      </c>
      <c r="BD178" s="225">
        <f t="shared" si="89"/>
        <v>77.999999999999773</v>
      </c>
      <c r="BE178" s="225">
        <f t="shared" si="90"/>
        <v>-2152.6678947368509</v>
      </c>
      <c r="BF178" s="225">
        <f t="shared" si="91"/>
        <v>0</v>
      </c>
      <c r="BG178" s="225">
        <f t="shared" si="64"/>
        <v>0</v>
      </c>
      <c r="BH178" s="225">
        <f t="shared" si="65"/>
        <v>0</v>
      </c>
      <c r="BI178" s="225">
        <f t="shared" si="66"/>
        <v>9050.3399999999892</v>
      </c>
      <c r="BJ178" s="225">
        <f t="shared" si="67"/>
        <v>273</v>
      </c>
      <c r="BK178" s="225">
        <f t="shared" si="68"/>
        <v>-104.41052631578951</v>
      </c>
      <c r="BL178" s="225">
        <f t="shared" si="69"/>
        <v>320.89</v>
      </c>
      <c r="BM178" s="225">
        <f t="shared" si="70"/>
        <v>309.26999999999975</v>
      </c>
      <c r="BN178" s="225">
        <f t="shared" si="92"/>
        <v>9849.0894736842001</v>
      </c>
      <c r="BO178" s="225">
        <f t="shared" si="71"/>
        <v>0</v>
      </c>
      <c r="BP178" s="225"/>
      <c r="BQ178" s="225"/>
      <c r="BR178" s="225"/>
      <c r="BS178" s="225"/>
      <c r="BT178" s="225"/>
      <c r="BU178" s="225"/>
      <c r="BV178" s="225"/>
      <c r="BW178" s="225"/>
      <c r="BY178" s="176"/>
      <c r="BZ178" s="176"/>
      <c r="CA178" s="176"/>
      <c r="CB178" s="176"/>
      <c r="CC178" s="176"/>
      <c r="CD178" s="176"/>
      <c r="CE178" s="176"/>
      <c r="CF178" s="176"/>
      <c r="CH178" s="248"/>
      <c r="CI178" s="248"/>
      <c r="CJ178" s="248"/>
      <c r="CK178" s="248"/>
      <c r="CL178" s="248"/>
      <c r="CM178" s="248"/>
      <c r="CN178" s="248"/>
      <c r="CO178" s="248"/>
      <c r="CQ178" s="248"/>
      <c r="CR178" s="248"/>
      <c r="CS178" s="248"/>
      <c r="CT178" s="248"/>
      <c r="CU178" s="248"/>
      <c r="CV178" s="248"/>
      <c r="CW178" s="248"/>
      <c r="CX178" s="248"/>
      <c r="CY178" s="248"/>
      <c r="DA178" s="248"/>
      <c r="DB178" s="248"/>
      <c r="DC178" s="248"/>
      <c r="DD178" s="248"/>
      <c r="DE178" s="248"/>
      <c r="DF178" s="248"/>
      <c r="DG178" s="248"/>
      <c r="DH178" s="248"/>
      <c r="DJ178" s="179" t="e">
        <f>#REF!+((SUMIFS($F178:$AM178,$F$3:$AM$3,$DJ$7)*80%))+SUMIFS(#REF!,#REF!,$DJ$7)</f>
        <v>#REF!</v>
      </c>
      <c r="DK178" s="179">
        <f t="shared" si="94"/>
        <v>0</v>
      </c>
      <c r="DL178" s="173" t="e">
        <f t="shared" si="93"/>
        <v>#REF!</v>
      </c>
    </row>
    <row r="179" spans="1:116">
      <c r="A179" s="168">
        <v>3362</v>
      </c>
      <c r="B179" s="2">
        <v>146298</v>
      </c>
      <c r="C179" s="2" t="s">
        <v>379</v>
      </c>
      <c r="D179" s="30"/>
      <c r="E179" s="226"/>
      <c r="F179" s="176">
        <v>0</v>
      </c>
      <c r="G179" s="176">
        <v>0</v>
      </c>
      <c r="H179" s="176">
        <v>0</v>
      </c>
      <c r="I179" s="176">
        <v>0</v>
      </c>
      <c r="J179" s="176">
        <v>0</v>
      </c>
      <c r="K179" s="176">
        <v>0</v>
      </c>
      <c r="L179" s="30">
        <f t="shared" si="73"/>
        <v>0</v>
      </c>
      <c r="M179" s="176">
        <f t="shared" si="74"/>
        <v>0</v>
      </c>
      <c r="N179" s="226"/>
      <c r="O179" s="176">
        <v>0</v>
      </c>
      <c r="P179" s="176">
        <v>0</v>
      </c>
      <c r="Q179" s="176">
        <v>0</v>
      </c>
      <c r="R179" s="176">
        <v>0</v>
      </c>
      <c r="S179" s="176">
        <v>0</v>
      </c>
      <c r="T179" s="176">
        <v>0</v>
      </c>
      <c r="U179" s="176">
        <f t="shared" si="75"/>
        <v>0</v>
      </c>
      <c r="V179" s="176">
        <f t="shared" si="76"/>
        <v>0</v>
      </c>
      <c r="W179" s="226"/>
      <c r="X179" s="247"/>
      <c r="Y179" s="176">
        <v>0</v>
      </c>
      <c r="Z179" s="176">
        <v>0</v>
      </c>
      <c r="AA179" s="176">
        <v>0</v>
      </c>
      <c r="AB179" s="176">
        <v>0</v>
      </c>
      <c r="AC179" s="176">
        <v>0</v>
      </c>
      <c r="AD179" s="176">
        <f t="shared" si="77"/>
        <v>0</v>
      </c>
      <c r="AE179" s="247">
        <f t="shared" si="78"/>
        <v>0</v>
      </c>
      <c r="AF179" s="226"/>
      <c r="AG179" s="247">
        <v>0</v>
      </c>
      <c r="AH179" s="247">
        <v>0</v>
      </c>
      <c r="AI179" s="247">
        <v>0</v>
      </c>
      <c r="AJ179" s="226"/>
      <c r="AK179" s="247">
        <f t="shared" si="79"/>
        <v>0</v>
      </c>
      <c r="AL179" s="247">
        <f t="shared" si="80"/>
        <v>0</v>
      </c>
      <c r="AM179" s="247">
        <f t="shared" si="81"/>
        <v>0</v>
      </c>
      <c r="AN179" s="225"/>
      <c r="AO179" s="225">
        <v>0</v>
      </c>
      <c r="AP179" s="225">
        <v>0</v>
      </c>
      <c r="AQ179" s="225">
        <v>0</v>
      </c>
      <c r="AR179" s="225">
        <v>0</v>
      </c>
      <c r="AS179" s="225">
        <v>0</v>
      </c>
      <c r="AT179" s="225">
        <v>0</v>
      </c>
      <c r="AU179" s="225">
        <v>0</v>
      </c>
      <c r="AV179" s="225">
        <f t="shared" si="82"/>
        <v>0</v>
      </c>
      <c r="AX179" s="225">
        <f t="shared" si="83"/>
        <v>0</v>
      </c>
      <c r="AY179" s="225">
        <f t="shared" si="84"/>
        <v>0</v>
      </c>
      <c r="AZ179" s="225">
        <f t="shared" si="85"/>
        <v>0</v>
      </c>
      <c r="BA179" s="225">
        <f t="shared" si="86"/>
        <v>0</v>
      </c>
      <c r="BB179" s="225">
        <f t="shared" si="87"/>
        <v>0</v>
      </c>
      <c r="BC179" s="225">
        <f t="shared" si="88"/>
        <v>0</v>
      </c>
      <c r="BD179" s="225">
        <f t="shared" si="89"/>
        <v>0</v>
      </c>
      <c r="BE179" s="225">
        <f t="shared" si="90"/>
        <v>0</v>
      </c>
      <c r="BF179" s="225">
        <f t="shared" si="91"/>
        <v>0</v>
      </c>
      <c r="BG179" s="225">
        <f t="shared" si="64"/>
        <v>0</v>
      </c>
      <c r="BH179" s="225">
        <f t="shared" si="65"/>
        <v>0</v>
      </c>
      <c r="BI179" s="225">
        <f t="shared" si="66"/>
        <v>0</v>
      </c>
      <c r="BJ179" s="225">
        <f t="shared" si="67"/>
        <v>0</v>
      </c>
      <c r="BK179" s="225">
        <f t="shared" si="68"/>
        <v>0</v>
      </c>
      <c r="BL179" s="225">
        <f t="shared" si="69"/>
        <v>0</v>
      </c>
      <c r="BM179" s="225">
        <f t="shared" si="70"/>
        <v>0</v>
      </c>
      <c r="BN179" s="225">
        <f t="shared" si="92"/>
        <v>0</v>
      </c>
      <c r="BO179" s="225">
        <f t="shared" si="71"/>
        <v>0</v>
      </c>
      <c r="BP179" s="225"/>
      <c r="BQ179" s="225"/>
      <c r="BR179" s="225"/>
      <c r="BS179" s="225"/>
      <c r="BT179" s="225"/>
      <c r="BU179" s="225"/>
      <c r="BV179" s="225"/>
      <c r="BW179" s="225"/>
      <c r="BY179" s="176"/>
      <c r="BZ179" s="176"/>
      <c r="CA179" s="176"/>
      <c r="CB179" s="176"/>
      <c r="CC179" s="176"/>
      <c r="CD179" s="176"/>
      <c r="CE179" s="176"/>
      <c r="CF179" s="176"/>
      <c r="CH179" s="248"/>
      <c r="CI179" s="248"/>
      <c r="CJ179" s="248"/>
      <c r="CK179" s="248"/>
      <c r="CL179" s="248"/>
      <c r="CM179" s="248"/>
      <c r="CN179" s="248"/>
      <c r="CO179" s="248"/>
      <c r="CQ179" s="248"/>
      <c r="CR179" s="248"/>
      <c r="CS179" s="248"/>
      <c r="CT179" s="248"/>
      <c r="CU179" s="248"/>
      <c r="CV179" s="248"/>
      <c r="CW179" s="248"/>
      <c r="CX179" s="248"/>
      <c r="CY179" s="248"/>
      <c r="DA179" s="248"/>
      <c r="DB179" s="248"/>
      <c r="DC179" s="248"/>
      <c r="DD179" s="248"/>
      <c r="DE179" s="248"/>
      <c r="DF179" s="248"/>
      <c r="DG179" s="248"/>
      <c r="DH179" s="248"/>
      <c r="DJ179" s="179" t="e">
        <f>#REF!+((SUMIFS($F179:$AM179,$F$3:$AM$3,$DJ$7)*80%))+SUMIFS(#REF!,#REF!,$DJ$7)</f>
        <v>#REF!</v>
      </c>
      <c r="DK179" s="179">
        <f t="shared" si="94"/>
        <v>0</v>
      </c>
      <c r="DL179" s="173" t="e">
        <f t="shared" si="93"/>
        <v>#REF!</v>
      </c>
    </row>
    <row r="180" spans="1:116">
      <c r="A180" s="168">
        <v>3330</v>
      </c>
      <c r="B180" s="2">
        <v>141815</v>
      </c>
      <c r="C180" s="2" t="s">
        <v>380</v>
      </c>
      <c r="D180" s="30"/>
      <c r="E180" s="226"/>
      <c r="F180" s="176">
        <v>0</v>
      </c>
      <c r="G180" s="176">
        <v>0</v>
      </c>
      <c r="H180" s="176">
        <v>47091.200000000004</v>
      </c>
      <c r="I180" s="176">
        <v>1560</v>
      </c>
      <c r="J180" s="176">
        <v>0</v>
      </c>
      <c r="K180" s="176">
        <v>0</v>
      </c>
      <c r="L180" s="30">
        <f t="shared" si="73"/>
        <v>48651.200000000004</v>
      </c>
      <c r="M180" s="176">
        <f t="shared" si="74"/>
        <v>38920.960000000006</v>
      </c>
      <c r="N180" s="226"/>
      <c r="O180" s="176">
        <v>0</v>
      </c>
      <c r="P180" s="176">
        <v>0</v>
      </c>
      <c r="Q180" s="176">
        <v>46355.4</v>
      </c>
      <c r="R180" s="176">
        <v>0</v>
      </c>
      <c r="S180" s="176">
        <v>0</v>
      </c>
      <c r="T180" s="176">
        <v>0</v>
      </c>
      <c r="U180" s="176">
        <f t="shared" si="75"/>
        <v>46355.4</v>
      </c>
      <c r="V180" s="176">
        <f t="shared" si="76"/>
        <v>37084.32</v>
      </c>
      <c r="W180" s="226"/>
      <c r="X180" s="247"/>
      <c r="Y180" s="176">
        <v>0</v>
      </c>
      <c r="Z180" s="176">
        <v>41180.968421052632</v>
      </c>
      <c r="AA180" s="176">
        <v>909.47368421052624</v>
      </c>
      <c r="AB180" s="176">
        <v>21.739612188365648</v>
      </c>
      <c r="AC180" s="176">
        <v>0</v>
      </c>
      <c r="AD180" s="176">
        <f t="shared" si="77"/>
        <v>42112.181717451524</v>
      </c>
      <c r="AE180" s="247">
        <f t="shared" si="78"/>
        <v>33689.745373961217</v>
      </c>
      <c r="AF180" s="226"/>
      <c r="AG180" s="247">
        <v>1146.6000000000001</v>
      </c>
      <c r="AH180" s="247">
        <v>1400.1</v>
      </c>
      <c r="AI180" s="247">
        <v>1141.3894736842103</v>
      </c>
      <c r="AJ180" s="226"/>
      <c r="AK180" s="247">
        <f t="shared" si="79"/>
        <v>917.2800000000002</v>
      </c>
      <c r="AL180" s="247">
        <f t="shared" si="80"/>
        <v>1120.08</v>
      </c>
      <c r="AM180" s="247">
        <f t="shared" si="81"/>
        <v>913.11157894736834</v>
      </c>
      <c r="AN180" s="225"/>
      <c r="AO180" s="225">
        <v>0</v>
      </c>
      <c r="AP180" s="225">
        <v>0</v>
      </c>
      <c r="AQ180" s="225">
        <v>51873.900000000009</v>
      </c>
      <c r="AR180" s="225">
        <v>0</v>
      </c>
      <c r="AS180" s="225">
        <v>0</v>
      </c>
      <c r="AT180" s="225">
        <v>0</v>
      </c>
      <c r="AU180" s="225">
        <v>1632.1499999999999</v>
      </c>
      <c r="AV180" s="225">
        <f t="shared" si="82"/>
        <v>53506.05000000001</v>
      </c>
      <c r="AX180" s="225">
        <f t="shared" si="83"/>
        <v>0</v>
      </c>
      <c r="AY180" s="225">
        <f t="shared" si="84"/>
        <v>0</v>
      </c>
      <c r="AZ180" s="225">
        <f t="shared" si="85"/>
        <v>4782.7000000000044</v>
      </c>
      <c r="BA180" s="225">
        <f t="shared" si="86"/>
        <v>-1560</v>
      </c>
      <c r="BB180" s="225">
        <f t="shared" si="87"/>
        <v>0</v>
      </c>
      <c r="BC180" s="225">
        <f t="shared" si="88"/>
        <v>0</v>
      </c>
      <c r="BD180" s="225">
        <f t="shared" si="89"/>
        <v>485.54999999999973</v>
      </c>
      <c r="BE180" s="225">
        <f t="shared" si="90"/>
        <v>3708.2500000000041</v>
      </c>
      <c r="BF180" s="225">
        <f t="shared" si="91"/>
        <v>0</v>
      </c>
      <c r="BG180" s="225">
        <f t="shared" si="64"/>
        <v>0</v>
      </c>
      <c r="BH180" s="225">
        <f t="shared" si="65"/>
        <v>0</v>
      </c>
      <c r="BI180" s="225">
        <f t="shared" si="66"/>
        <v>14200.940000000002</v>
      </c>
      <c r="BJ180" s="225">
        <f t="shared" si="67"/>
        <v>-1248</v>
      </c>
      <c r="BK180" s="225">
        <f t="shared" si="68"/>
        <v>0</v>
      </c>
      <c r="BL180" s="225">
        <f t="shared" si="69"/>
        <v>0</v>
      </c>
      <c r="BM180" s="225">
        <f t="shared" si="70"/>
        <v>714.86999999999966</v>
      </c>
      <c r="BN180" s="225">
        <f t="shared" si="92"/>
        <v>13667.810000000001</v>
      </c>
      <c r="BO180" s="225">
        <f t="shared" si="71"/>
        <v>0</v>
      </c>
      <c r="BP180" s="225"/>
      <c r="BQ180" s="225"/>
      <c r="BR180" s="225"/>
      <c r="BS180" s="225"/>
      <c r="BT180" s="225"/>
      <c r="BU180" s="225"/>
      <c r="BV180" s="225"/>
      <c r="BW180" s="225"/>
      <c r="BY180" s="176"/>
      <c r="BZ180" s="176"/>
      <c r="CA180" s="176"/>
      <c r="CB180" s="176"/>
      <c r="CC180" s="176"/>
      <c r="CD180" s="176"/>
      <c r="CE180" s="176"/>
      <c r="CF180" s="176"/>
      <c r="CH180" s="248"/>
      <c r="CI180" s="248"/>
      <c r="CJ180" s="248"/>
      <c r="CK180" s="248"/>
      <c r="CL180" s="248"/>
      <c r="CM180" s="248"/>
      <c r="CN180" s="248"/>
      <c r="CO180" s="248"/>
      <c r="CQ180" s="248"/>
      <c r="CR180" s="248"/>
      <c r="CS180" s="248"/>
      <c r="CT180" s="248"/>
      <c r="CU180" s="248"/>
      <c r="CV180" s="248"/>
      <c r="CW180" s="248"/>
      <c r="CX180" s="248"/>
      <c r="CY180" s="248"/>
      <c r="DA180" s="248"/>
      <c r="DB180" s="248"/>
      <c r="DC180" s="248"/>
      <c r="DD180" s="248"/>
      <c r="DE180" s="248"/>
      <c r="DF180" s="248"/>
      <c r="DG180" s="248"/>
      <c r="DH180" s="248"/>
      <c r="DJ180" s="179" t="e">
        <f>#REF!+((SUMIFS($F180:$AM180,$F$3:$AM$3,$DJ$7)*80%))+SUMIFS(#REF!,#REF!,$DJ$7)</f>
        <v>#REF!</v>
      </c>
      <c r="DK180" s="179">
        <f t="shared" si="94"/>
        <v>0</v>
      </c>
      <c r="DL180" s="173" t="e">
        <f t="shared" si="93"/>
        <v>#REF!</v>
      </c>
    </row>
    <row r="181" spans="1:116">
      <c r="A181" s="168">
        <v>3337</v>
      </c>
      <c r="B181" s="2">
        <v>148440</v>
      </c>
      <c r="C181" s="2" t="s">
        <v>381</v>
      </c>
      <c r="D181" s="30"/>
      <c r="E181" s="226"/>
      <c r="F181" s="176">
        <v>0</v>
      </c>
      <c r="G181" s="176">
        <v>0</v>
      </c>
      <c r="H181" s="176">
        <v>0</v>
      </c>
      <c r="I181" s="176">
        <v>0</v>
      </c>
      <c r="J181" s="176">
        <v>0</v>
      </c>
      <c r="K181" s="176">
        <v>0</v>
      </c>
      <c r="L181" s="30">
        <f t="shared" si="73"/>
        <v>0</v>
      </c>
      <c r="M181" s="176">
        <f t="shared" si="74"/>
        <v>0</v>
      </c>
      <c r="N181" s="226"/>
      <c r="O181" s="176">
        <v>0</v>
      </c>
      <c r="P181" s="176">
        <v>0</v>
      </c>
      <c r="Q181" s="176">
        <v>0</v>
      </c>
      <c r="R181" s="176">
        <v>0</v>
      </c>
      <c r="S181" s="176">
        <v>0</v>
      </c>
      <c r="T181" s="176">
        <v>0</v>
      </c>
      <c r="U181" s="176">
        <f t="shared" si="75"/>
        <v>0</v>
      </c>
      <c r="V181" s="176">
        <f t="shared" si="76"/>
        <v>0</v>
      </c>
      <c r="W181" s="226"/>
      <c r="X181" s="247"/>
      <c r="Y181" s="176">
        <v>0</v>
      </c>
      <c r="Z181" s="176">
        <v>0</v>
      </c>
      <c r="AA181" s="176">
        <v>0</v>
      </c>
      <c r="AB181" s="176">
        <v>0</v>
      </c>
      <c r="AC181" s="176">
        <v>0</v>
      </c>
      <c r="AD181" s="176">
        <f t="shared" si="77"/>
        <v>0</v>
      </c>
      <c r="AE181" s="247">
        <f t="shared" si="78"/>
        <v>0</v>
      </c>
      <c r="AF181" s="226"/>
      <c r="AG181" s="247">
        <v>0</v>
      </c>
      <c r="AH181" s="247">
        <v>0</v>
      </c>
      <c r="AI181" s="247">
        <v>0</v>
      </c>
      <c r="AJ181" s="226"/>
      <c r="AK181" s="247">
        <f t="shared" si="79"/>
        <v>0</v>
      </c>
      <c r="AL181" s="247">
        <f t="shared" si="80"/>
        <v>0</v>
      </c>
      <c r="AM181" s="247">
        <f t="shared" si="81"/>
        <v>0</v>
      </c>
      <c r="AN181" s="225"/>
      <c r="AO181" s="225">
        <v>0</v>
      </c>
      <c r="AP181" s="225">
        <v>0</v>
      </c>
      <c r="AQ181" s="225">
        <v>0</v>
      </c>
      <c r="AR181" s="225">
        <v>0</v>
      </c>
      <c r="AS181" s="225">
        <v>0</v>
      </c>
      <c r="AT181" s="225">
        <v>0</v>
      </c>
      <c r="AU181" s="225">
        <v>0</v>
      </c>
      <c r="AV181" s="225">
        <f t="shared" si="82"/>
        <v>0</v>
      </c>
      <c r="AX181" s="225">
        <f t="shared" si="83"/>
        <v>0</v>
      </c>
      <c r="AY181" s="225">
        <f t="shared" si="84"/>
        <v>0</v>
      </c>
      <c r="AZ181" s="225">
        <f t="shared" si="85"/>
        <v>0</v>
      </c>
      <c r="BA181" s="225">
        <f t="shared" si="86"/>
        <v>0</v>
      </c>
      <c r="BB181" s="225">
        <f t="shared" si="87"/>
        <v>0</v>
      </c>
      <c r="BC181" s="225">
        <f t="shared" si="88"/>
        <v>0</v>
      </c>
      <c r="BD181" s="225">
        <f t="shared" si="89"/>
        <v>0</v>
      </c>
      <c r="BE181" s="225">
        <f t="shared" si="90"/>
        <v>0</v>
      </c>
      <c r="BF181" s="225">
        <f t="shared" si="91"/>
        <v>0</v>
      </c>
      <c r="BG181" s="225">
        <f t="shared" si="64"/>
        <v>0</v>
      </c>
      <c r="BH181" s="225">
        <f t="shared" si="65"/>
        <v>0</v>
      </c>
      <c r="BI181" s="225">
        <f t="shared" si="66"/>
        <v>0</v>
      </c>
      <c r="BJ181" s="225">
        <f t="shared" si="67"/>
        <v>0</v>
      </c>
      <c r="BK181" s="225">
        <f t="shared" si="68"/>
        <v>0</v>
      </c>
      <c r="BL181" s="225">
        <f t="shared" si="69"/>
        <v>0</v>
      </c>
      <c r="BM181" s="225">
        <f t="shared" si="70"/>
        <v>0</v>
      </c>
      <c r="BN181" s="225">
        <f t="shared" si="92"/>
        <v>0</v>
      </c>
      <c r="BO181" s="225">
        <f t="shared" si="71"/>
        <v>0</v>
      </c>
      <c r="BP181" s="225"/>
      <c r="BQ181" s="225"/>
      <c r="BR181" s="225"/>
      <c r="BS181" s="225"/>
      <c r="BT181" s="225"/>
      <c r="BU181" s="225"/>
      <c r="BV181" s="225"/>
      <c r="BW181" s="225"/>
      <c r="BY181" s="176"/>
      <c r="BZ181" s="176"/>
      <c r="CA181" s="176"/>
      <c r="CB181" s="176"/>
      <c r="CC181" s="176"/>
      <c r="CD181" s="176"/>
      <c r="CE181" s="176"/>
      <c r="CF181" s="176"/>
      <c r="CH181" s="248"/>
      <c r="CI181" s="248"/>
      <c r="CJ181" s="248"/>
      <c r="CK181" s="248"/>
      <c r="CL181" s="248"/>
      <c r="CM181" s="248"/>
      <c r="CN181" s="248"/>
      <c r="CO181" s="248"/>
      <c r="CQ181" s="248"/>
      <c r="CR181" s="248"/>
      <c r="CS181" s="248"/>
      <c r="CT181" s="248"/>
      <c r="CU181" s="248"/>
      <c r="CV181" s="248"/>
      <c r="CW181" s="248"/>
      <c r="CX181" s="248"/>
      <c r="CY181" s="248"/>
      <c r="DA181" s="248"/>
      <c r="DB181" s="248"/>
      <c r="DC181" s="248"/>
      <c r="DD181" s="248"/>
      <c r="DE181" s="248"/>
      <c r="DF181" s="248"/>
      <c r="DG181" s="248"/>
      <c r="DH181" s="248"/>
      <c r="DJ181" s="179" t="e">
        <f>#REF!+((SUMIFS($F181:$AM181,$F$3:$AM$3,$DJ$7)*80%))+SUMIFS(#REF!,#REF!,$DJ$7)</f>
        <v>#REF!</v>
      </c>
      <c r="DK181" s="179">
        <f t="shared" si="94"/>
        <v>0</v>
      </c>
      <c r="DL181" s="173" t="e">
        <f t="shared" si="93"/>
        <v>#REF!</v>
      </c>
    </row>
    <row r="182" spans="1:116">
      <c r="A182" s="168">
        <v>2059</v>
      </c>
      <c r="B182" s="2">
        <v>138432</v>
      </c>
      <c r="C182" s="2" t="s">
        <v>382</v>
      </c>
      <c r="D182" s="30"/>
      <c r="E182" s="226"/>
      <c r="F182" s="176">
        <v>0</v>
      </c>
      <c r="G182" s="176">
        <v>0</v>
      </c>
      <c r="H182" s="176">
        <v>12140.7</v>
      </c>
      <c r="I182" s="176">
        <v>1170</v>
      </c>
      <c r="J182" s="176">
        <v>0</v>
      </c>
      <c r="K182" s="176">
        <v>0</v>
      </c>
      <c r="L182" s="30">
        <f t="shared" si="73"/>
        <v>13310.7</v>
      </c>
      <c r="M182" s="176">
        <f t="shared" si="74"/>
        <v>10648.560000000001</v>
      </c>
      <c r="N182" s="226"/>
      <c r="O182" s="176">
        <v>0</v>
      </c>
      <c r="P182" s="176">
        <v>0</v>
      </c>
      <c r="Q182" s="176">
        <v>14348.1</v>
      </c>
      <c r="R182" s="176">
        <v>195</v>
      </c>
      <c r="S182" s="176">
        <v>74.578947368421055</v>
      </c>
      <c r="T182" s="176">
        <v>0</v>
      </c>
      <c r="U182" s="176">
        <f t="shared" si="75"/>
        <v>14617.678947368422</v>
      </c>
      <c r="V182" s="176">
        <f t="shared" si="76"/>
        <v>11694.143157894738</v>
      </c>
      <c r="W182" s="226"/>
      <c r="X182" s="247"/>
      <c r="Y182" s="176">
        <v>0</v>
      </c>
      <c r="Z182" s="176">
        <v>11582.147368421052</v>
      </c>
      <c r="AA182" s="176">
        <v>738.94736842105272</v>
      </c>
      <c r="AB182" s="176">
        <v>152.17728531855954</v>
      </c>
      <c r="AC182" s="176">
        <v>0</v>
      </c>
      <c r="AD182" s="176">
        <f t="shared" si="77"/>
        <v>12473.272022160665</v>
      </c>
      <c r="AE182" s="247">
        <f t="shared" si="78"/>
        <v>9978.6176177285324</v>
      </c>
      <c r="AF182" s="226"/>
      <c r="AG182" s="247">
        <v>622.04999999999995</v>
      </c>
      <c r="AH182" s="247">
        <v>627.9</v>
      </c>
      <c r="AI182" s="247">
        <v>562.16842105263152</v>
      </c>
      <c r="AJ182" s="226"/>
      <c r="AK182" s="247">
        <f t="shared" si="79"/>
        <v>497.64</v>
      </c>
      <c r="AL182" s="247">
        <f t="shared" si="80"/>
        <v>502.32</v>
      </c>
      <c r="AM182" s="247">
        <f t="shared" si="81"/>
        <v>449.73473684210524</v>
      </c>
      <c r="AN182" s="225"/>
      <c r="AO182" s="225">
        <v>0</v>
      </c>
      <c r="AP182" s="225">
        <v>0</v>
      </c>
      <c r="AQ182" s="225">
        <v>14348.1</v>
      </c>
      <c r="AR182" s="225">
        <v>585</v>
      </c>
      <c r="AS182" s="225">
        <v>223.73684210526318</v>
      </c>
      <c r="AT182" s="225">
        <v>0</v>
      </c>
      <c r="AU182" s="225">
        <v>627.9</v>
      </c>
      <c r="AV182" s="225">
        <f t="shared" si="82"/>
        <v>15784.736842105263</v>
      </c>
      <c r="AX182" s="225">
        <f t="shared" si="83"/>
        <v>0</v>
      </c>
      <c r="AY182" s="225">
        <f t="shared" si="84"/>
        <v>0</v>
      </c>
      <c r="AZ182" s="225">
        <f t="shared" si="85"/>
        <v>2207.3999999999996</v>
      </c>
      <c r="BA182" s="225">
        <f t="shared" si="86"/>
        <v>-585</v>
      </c>
      <c r="BB182" s="225">
        <f t="shared" si="87"/>
        <v>223.73684210526318</v>
      </c>
      <c r="BC182" s="225">
        <f t="shared" si="88"/>
        <v>0</v>
      </c>
      <c r="BD182" s="225">
        <f t="shared" si="89"/>
        <v>5.8500000000000227</v>
      </c>
      <c r="BE182" s="225">
        <f t="shared" si="90"/>
        <v>1851.9868421052629</v>
      </c>
      <c r="BF182" s="225">
        <f t="shared" si="91"/>
        <v>0</v>
      </c>
      <c r="BG182" s="225">
        <f t="shared" si="64"/>
        <v>0</v>
      </c>
      <c r="BH182" s="225">
        <f t="shared" si="65"/>
        <v>0</v>
      </c>
      <c r="BI182" s="225">
        <f t="shared" si="66"/>
        <v>4635.5399999999991</v>
      </c>
      <c r="BJ182" s="225">
        <f t="shared" si="67"/>
        <v>-351</v>
      </c>
      <c r="BK182" s="225">
        <f t="shared" si="68"/>
        <v>223.73684210526318</v>
      </c>
      <c r="BL182" s="225">
        <f t="shared" si="69"/>
        <v>0</v>
      </c>
      <c r="BM182" s="225">
        <f t="shared" si="70"/>
        <v>130.26</v>
      </c>
      <c r="BN182" s="225">
        <f t="shared" si="92"/>
        <v>4638.5368421052626</v>
      </c>
      <c r="BO182" s="225">
        <f t="shared" si="71"/>
        <v>0</v>
      </c>
      <c r="BP182" s="225"/>
      <c r="BQ182" s="225"/>
      <c r="BR182" s="225"/>
      <c r="BS182" s="225"/>
      <c r="BT182" s="225"/>
      <c r="BU182" s="225"/>
      <c r="BV182" s="225"/>
      <c r="BW182" s="225"/>
      <c r="BY182" s="176"/>
      <c r="BZ182" s="176"/>
      <c r="CA182" s="176"/>
      <c r="CB182" s="176"/>
      <c r="CC182" s="176"/>
      <c r="CD182" s="176"/>
      <c r="CE182" s="176"/>
      <c r="CF182" s="176"/>
      <c r="CH182" s="248"/>
      <c r="CI182" s="248"/>
      <c r="CJ182" s="248"/>
      <c r="CK182" s="248"/>
      <c r="CL182" s="248"/>
      <c r="CM182" s="248"/>
      <c r="CN182" s="248"/>
      <c r="CO182" s="248"/>
      <c r="CQ182" s="248"/>
      <c r="CR182" s="248"/>
      <c r="CS182" s="248"/>
      <c r="CT182" s="248"/>
      <c r="CU182" s="248"/>
      <c r="CV182" s="248"/>
      <c r="CW182" s="248"/>
      <c r="CX182" s="248"/>
      <c r="CY182" s="248"/>
      <c r="DA182" s="248"/>
      <c r="DB182" s="248"/>
      <c r="DC182" s="248"/>
      <c r="DD182" s="248"/>
      <c r="DE182" s="248"/>
      <c r="DF182" s="248"/>
      <c r="DG182" s="248"/>
      <c r="DH182" s="248"/>
      <c r="DJ182" s="179" t="e">
        <f>#REF!+((SUMIFS($F182:$AM182,$F$3:$AM$3,$DJ$7)*80%))+SUMIFS(#REF!,#REF!,$DJ$7)</f>
        <v>#REF!</v>
      </c>
      <c r="DK182" s="179">
        <f t="shared" si="94"/>
        <v>0</v>
      </c>
      <c r="DL182" s="173" t="e">
        <f t="shared" si="93"/>
        <v>#REF!</v>
      </c>
    </row>
    <row r="183" spans="1:116">
      <c r="A183" s="168">
        <v>2154</v>
      </c>
      <c r="B183" s="2">
        <v>141669</v>
      </c>
      <c r="C183" s="2" t="s">
        <v>383</v>
      </c>
      <c r="D183" s="30"/>
      <c r="E183" s="226"/>
      <c r="F183" s="176">
        <v>0</v>
      </c>
      <c r="G183" s="176">
        <v>0</v>
      </c>
      <c r="H183" s="176">
        <v>0</v>
      </c>
      <c r="I183" s="176">
        <v>0</v>
      </c>
      <c r="J183" s="176">
        <v>0</v>
      </c>
      <c r="K183" s="176">
        <v>0</v>
      </c>
      <c r="L183" s="30">
        <f t="shared" si="73"/>
        <v>0</v>
      </c>
      <c r="M183" s="176">
        <f t="shared" si="74"/>
        <v>0</v>
      </c>
      <c r="N183" s="226"/>
      <c r="O183" s="176">
        <v>0</v>
      </c>
      <c r="P183" s="176">
        <v>0</v>
      </c>
      <c r="Q183" s="176">
        <v>0</v>
      </c>
      <c r="R183" s="176">
        <v>0</v>
      </c>
      <c r="S183" s="176">
        <v>0</v>
      </c>
      <c r="T183" s="176">
        <v>0</v>
      </c>
      <c r="U183" s="176">
        <f t="shared" si="75"/>
        <v>0</v>
      </c>
      <c r="V183" s="176">
        <f t="shared" si="76"/>
        <v>0</v>
      </c>
      <c r="W183" s="226"/>
      <c r="X183" s="247"/>
      <c r="Y183" s="176">
        <v>0</v>
      </c>
      <c r="Z183" s="176">
        <v>0</v>
      </c>
      <c r="AA183" s="176">
        <v>0</v>
      </c>
      <c r="AB183" s="176">
        <v>0</v>
      </c>
      <c r="AC183" s="176">
        <v>0</v>
      </c>
      <c r="AD183" s="176">
        <f t="shared" si="77"/>
        <v>0</v>
      </c>
      <c r="AE183" s="247">
        <f t="shared" si="78"/>
        <v>0</v>
      </c>
      <c r="AF183" s="226"/>
      <c r="AG183" s="247">
        <v>0</v>
      </c>
      <c r="AH183" s="247">
        <v>0</v>
      </c>
      <c r="AI183" s="247">
        <v>0</v>
      </c>
      <c r="AJ183" s="226"/>
      <c r="AK183" s="247">
        <f t="shared" si="79"/>
        <v>0</v>
      </c>
      <c r="AL183" s="247">
        <f t="shared" si="80"/>
        <v>0</v>
      </c>
      <c r="AM183" s="247">
        <f t="shared" si="81"/>
        <v>0</v>
      </c>
      <c r="AN183" s="225"/>
      <c r="AO183" s="225">
        <v>0</v>
      </c>
      <c r="AP183" s="225">
        <v>0</v>
      </c>
      <c r="AQ183" s="225">
        <v>0</v>
      </c>
      <c r="AR183" s="225">
        <v>0</v>
      </c>
      <c r="AS183" s="225">
        <v>0</v>
      </c>
      <c r="AT183" s="225">
        <v>0</v>
      </c>
      <c r="AU183" s="225">
        <v>0</v>
      </c>
      <c r="AV183" s="225">
        <f t="shared" si="82"/>
        <v>0</v>
      </c>
      <c r="AX183" s="225">
        <f t="shared" si="83"/>
        <v>0</v>
      </c>
      <c r="AY183" s="225">
        <f t="shared" si="84"/>
        <v>0</v>
      </c>
      <c r="AZ183" s="225">
        <f t="shared" si="85"/>
        <v>0</v>
      </c>
      <c r="BA183" s="225">
        <f t="shared" si="86"/>
        <v>0</v>
      </c>
      <c r="BB183" s="225">
        <f t="shared" si="87"/>
        <v>0</v>
      </c>
      <c r="BC183" s="225">
        <f t="shared" si="88"/>
        <v>0</v>
      </c>
      <c r="BD183" s="225">
        <f t="shared" si="89"/>
        <v>0</v>
      </c>
      <c r="BE183" s="225">
        <f t="shared" si="90"/>
        <v>0</v>
      </c>
      <c r="BF183" s="225">
        <f t="shared" si="91"/>
        <v>0</v>
      </c>
      <c r="BG183" s="225">
        <f t="shared" si="64"/>
        <v>0</v>
      </c>
      <c r="BH183" s="225">
        <f t="shared" si="65"/>
        <v>0</v>
      </c>
      <c r="BI183" s="225">
        <f t="shared" si="66"/>
        <v>0</v>
      </c>
      <c r="BJ183" s="225">
        <f t="shared" si="67"/>
        <v>0</v>
      </c>
      <c r="BK183" s="225">
        <f t="shared" si="68"/>
        <v>0</v>
      </c>
      <c r="BL183" s="225">
        <f t="shared" si="69"/>
        <v>0</v>
      </c>
      <c r="BM183" s="225">
        <f t="shared" si="70"/>
        <v>0</v>
      </c>
      <c r="BN183" s="225">
        <f t="shared" si="92"/>
        <v>0</v>
      </c>
      <c r="BO183" s="225">
        <f t="shared" si="71"/>
        <v>0</v>
      </c>
      <c r="BP183" s="225"/>
      <c r="BQ183" s="225"/>
      <c r="BR183" s="225"/>
      <c r="BS183" s="225"/>
      <c r="BT183" s="225"/>
      <c r="BU183" s="225"/>
      <c r="BV183" s="225"/>
      <c r="BW183" s="225"/>
      <c r="BY183" s="176"/>
      <c r="BZ183" s="176"/>
      <c r="CA183" s="176"/>
      <c r="CB183" s="176"/>
      <c r="CC183" s="176"/>
      <c r="CD183" s="176"/>
      <c r="CE183" s="176"/>
      <c r="CF183" s="176"/>
      <c r="CH183" s="248"/>
      <c r="CI183" s="248"/>
      <c r="CJ183" s="248"/>
      <c r="CK183" s="248"/>
      <c r="CL183" s="248"/>
      <c r="CM183" s="248"/>
      <c r="CN183" s="248"/>
      <c r="CO183" s="248"/>
      <c r="CQ183" s="248"/>
      <c r="CR183" s="248"/>
      <c r="CS183" s="248"/>
      <c r="CT183" s="248"/>
      <c r="CU183" s="248"/>
      <c r="CV183" s="248"/>
      <c r="CW183" s="248"/>
      <c r="CX183" s="248"/>
      <c r="CY183" s="248"/>
      <c r="DA183" s="248"/>
      <c r="DB183" s="248"/>
      <c r="DC183" s="248"/>
      <c r="DD183" s="248"/>
      <c r="DE183" s="248"/>
      <c r="DF183" s="248"/>
      <c r="DG183" s="248"/>
      <c r="DH183" s="248"/>
      <c r="DJ183" s="179" t="e">
        <f>#REF!+((SUMIFS($F183:$AM183,$F$3:$AM$3,$DJ$7)*80%))+SUMIFS(#REF!,#REF!,$DJ$7)</f>
        <v>#REF!</v>
      </c>
      <c r="DK183" s="179">
        <f t="shared" si="94"/>
        <v>0</v>
      </c>
      <c r="DL183" s="173" t="e">
        <f t="shared" si="93"/>
        <v>#REF!</v>
      </c>
    </row>
    <row r="184" spans="1:116">
      <c r="A184" s="168">
        <v>4663</v>
      </c>
      <c r="B184" s="2">
        <v>147707</v>
      </c>
      <c r="C184" s="2" t="s">
        <v>384</v>
      </c>
      <c r="D184" s="30"/>
      <c r="E184" s="226"/>
      <c r="F184" s="176">
        <v>0</v>
      </c>
      <c r="G184" s="176">
        <v>0</v>
      </c>
      <c r="H184" s="176">
        <v>0</v>
      </c>
      <c r="I184" s="176">
        <v>0</v>
      </c>
      <c r="J184" s="176">
        <v>0</v>
      </c>
      <c r="K184" s="176">
        <v>0</v>
      </c>
      <c r="L184" s="30">
        <f t="shared" si="73"/>
        <v>0</v>
      </c>
      <c r="M184" s="176">
        <f t="shared" si="74"/>
        <v>0</v>
      </c>
      <c r="N184" s="226"/>
      <c r="O184" s="176">
        <v>0</v>
      </c>
      <c r="P184" s="176">
        <v>0</v>
      </c>
      <c r="Q184" s="176">
        <v>0</v>
      </c>
      <c r="R184" s="176">
        <v>0</v>
      </c>
      <c r="S184" s="176">
        <v>0</v>
      </c>
      <c r="T184" s="176">
        <v>0</v>
      </c>
      <c r="U184" s="176">
        <f t="shared" si="75"/>
        <v>0</v>
      </c>
      <c r="V184" s="176">
        <f t="shared" si="76"/>
        <v>0</v>
      </c>
      <c r="W184" s="226"/>
      <c r="X184" s="247"/>
      <c r="Y184" s="176">
        <v>0</v>
      </c>
      <c r="Z184" s="176">
        <v>0</v>
      </c>
      <c r="AA184" s="176">
        <v>0</v>
      </c>
      <c r="AB184" s="176">
        <v>0</v>
      </c>
      <c r="AC184" s="176">
        <v>0</v>
      </c>
      <c r="AD184" s="176">
        <f t="shared" si="77"/>
        <v>0</v>
      </c>
      <c r="AE184" s="247">
        <f t="shared" si="78"/>
        <v>0</v>
      </c>
      <c r="AF184" s="226"/>
      <c r="AG184" s="247">
        <v>0</v>
      </c>
      <c r="AH184" s="247">
        <v>0</v>
      </c>
      <c r="AI184" s="247">
        <v>0</v>
      </c>
      <c r="AJ184" s="226"/>
      <c r="AK184" s="247">
        <f t="shared" si="79"/>
        <v>0</v>
      </c>
      <c r="AL184" s="247">
        <f t="shared" si="80"/>
        <v>0</v>
      </c>
      <c r="AM184" s="247">
        <f t="shared" si="81"/>
        <v>0</v>
      </c>
      <c r="AN184" s="225"/>
      <c r="AO184" s="225">
        <v>0</v>
      </c>
      <c r="AP184" s="225">
        <v>0</v>
      </c>
      <c r="AQ184" s="225">
        <v>0</v>
      </c>
      <c r="AR184" s="225">
        <v>0</v>
      </c>
      <c r="AS184" s="225">
        <v>0</v>
      </c>
      <c r="AT184" s="225">
        <v>0</v>
      </c>
      <c r="AU184" s="225">
        <v>0</v>
      </c>
      <c r="AV184" s="225">
        <f t="shared" si="82"/>
        <v>0</v>
      </c>
      <c r="AX184" s="225">
        <f t="shared" si="83"/>
        <v>0</v>
      </c>
      <c r="AY184" s="225">
        <f t="shared" si="84"/>
        <v>0</v>
      </c>
      <c r="AZ184" s="225">
        <f t="shared" si="85"/>
        <v>0</v>
      </c>
      <c r="BA184" s="225">
        <f t="shared" si="86"/>
        <v>0</v>
      </c>
      <c r="BB184" s="225">
        <f t="shared" si="87"/>
        <v>0</v>
      </c>
      <c r="BC184" s="225">
        <f t="shared" si="88"/>
        <v>0</v>
      </c>
      <c r="BD184" s="225">
        <f t="shared" si="89"/>
        <v>0</v>
      </c>
      <c r="BE184" s="225">
        <f t="shared" si="90"/>
        <v>0</v>
      </c>
      <c r="BF184" s="225">
        <f t="shared" si="91"/>
        <v>0</v>
      </c>
      <c r="BG184" s="225">
        <f t="shared" si="64"/>
        <v>0</v>
      </c>
      <c r="BH184" s="225">
        <f t="shared" si="65"/>
        <v>0</v>
      </c>
      <c r="BI184" s="225">
        <f t="shared" si="66"/>
        <v>0</v>
      </c>
      <c r="BJ184" s="225">
        <f t="shared" si="67"/>
        <v>0</v>
      </c>
      <c r="BK184" s="225">
        <f t="shared" si="68"/>
        <v>0</v>
      </c>
      <c r="BL184" s="225">
        <f t="shared" si="69"/>
        <v>0</v>
      </c>
      <c r="BM184" s="225">
        <f t="shared" si="70"/>
        <v>0</v>
      </c>
      <c r="BN184" s="225">
        <f t="shared" si="92"/>
        <v>0</v>
      </c>
      <c r="BO184" s="225">
        <f t="shared" si="71"/>
        <v>0</v>
      </c>
      <c r="BP184" s="225"/>
      <c r="BQ184" s="225"/>
      <c r="BR184" s="225"/>
      <c r="BS184" s="225"/>
      <c r="BT184" s="225"/>
      <c r="BU184" s="225"/>
      <c r="BV184" s="225"/>
      <c r="BW184" s="225"/>
      <c r="BY184" s="176"/>
      <c r="BZ184" s="176"/>
      <c r="CA184" s="176"/>
      <c r="CB184" s="176"/>
      <c r="CC184" s="176"/>
      <c r="CD184" s="176"/>
      <c r="CE184" s="176"/>
      <c r="CF184" s="176"/>
      <c r="CH184" s="248"/>
      <c r="CI184" s="248"/>
      <c r="CJ184" s="248"/>
      <c r="CK184" s="248"/>
      <c r="CL184" s="248"/>
      <c r="CM184" s="248"/>
      <c r="CN184" s="248"/>
      <c r="CO184" s="248"/>
      <c r="CQ184" s="248"/>
      <c r="CR184" s="248"/>
      <c r="CS184" s="248"/>
      <c r="CT184" s="248"/>
      <c r="CU184" s="248"/>
      <c r="CV184" s="248"/>
      <c r="CW184" s="248"/>
      <c r="CX184" s="248"/>
      <c r="CY184" s="248"/>
      <c r="DA184" s="248"/>
      <c r="DB184" s="248"/>
      <c r="DC184" s="248"/>
      <c r="DD184" s="248"/>
      <c r="DE184" s="248"/>
      <c r="DF184" s="248"/>
      <c r="DG184" s="248"/>
      <c r="DH184" s="248"/>
      <c r="DJ184" s="179" t="e">
        <f>#REF!+((SUMIFS($F184:$AM184,$F$3:$AM$3,$DJ$7)*80%))+SUMIFS(#REF!,#REF!,$DJ$7)</f>
        <v>#REF!</v>
      </c>
      <c r="DK184" s="179">
        <f t="shared" si="94"/>
        <v>0</v>
      </c>
      <c r="DL184" s="173" t="e">
        <f t="shared" si="93"/>
        <v>#REF!</v>
      </c>
    </row>
    <row r="185" spans="1:116">
      <c r="A185" s="168">
        <v>5205</v>
      </c>
      <c r="B185" s="2">
        <v>143434</v>
      </c>
      <c r="C185" s="2" t="s">
        <v>385</v>
      </c>
      <c r="D185" s="30"/>
      <c r="E185" s="226"/>
      <c r="F185" s="176">
        <v>0</v>
      </c>
      <c r="G185" s="176">
        <v>0</v>
      </c>
      <c r="H185" s="176">
        <v>43044.3</v>
      </c>
      <c r="I185" s="176">
        <v>195</v>
      </c>
      <c r="J185" s="176">
        <v>74.578947368421055</v>
      </c>
      <c r="K185" s="176">
        <v>0</v>
      </c>
      <c r="L185" s="30">
        <f t="shared" si="73"/>
        <v>43313.878947368423</v>
      </c>
      <c r="M185" s="176">
        <f t="shared" si="74"/>
        <v>34651.103157894737</v>
      </c>
      <c r="N185" s="226"/>
      <c r="O185" s="176">
        <v>0</v>
      </c>
      <c r="P185" s="176">
        <v>0</v>
      </c>
      <c r="Q185" s="176">
        <v>44148</v>
      </c>
      <c r="R185" s="176">
        <v>0</v>
      </c>
      <c r="S185" s="176">
        <v>0</v>
      </c>
      <c r="T185" s="176">
        <v>0</v>
      </c>
      <c r="U185" s="176">
        <f t="shared" si="75"/>
        <v>44148</v>
      </c>
      <c r="V185" s="176">
        <f t="shared" si="76"/>
        <v>35318.400000000001</v>
      </c>
      <c r="W185" s="226"/>
      <c r="X185" s="247"/>
      <c r="Y185" s="176">
        <v>0</v>
      </c>
      <c r="Z185" s="176">
        <v>38285.431578947362</v>
      </c>
      <c r="AA185" s="176">
        <v>113.68421052631578</v>
      </c>
      <c r="AB185" s="176">
        <v>43.479224376731295</v>
      </c>
      <c r="AC185" s="176">
        <v>0</v>
      </c>
      <c r="AD185" s="176">
        <f t="shared" si="77"/>
        <v>38442.595013850405</v>
      </c>
      <c r="AE185" s="247">
        <f t="shared" si="78"/>
        <v>30754.076011080324</v>
      </c>
      <c r="AF185" s="226"/>
      <c r="AG185" s="247">
        <v>222.3</v>
      </c>
      <c r="AH185" s="247">
        <v>341.25</v>
      </c>
      <c r="AI185" s="247">
        <v>229.07368421052632</v>
      </c>
      <c r="AJ185" s="226"/>
      <c r="AK185" s="247">
        <f t="shared" si="79"/>
        <v>177.84000000000003</v>
      </c>
      <c r="AL185" s="247">
        <f t="shared" si="80"/>
        <v>273</v>
      </c>
      <c r="AM185" s="247">
        <f t="shared" si="81"/>
        <v>183.25894736842108</v>
      </c>
      <c r="AN185" s="225"/>
      <c r="AO185" s="225">
        <v>0</v>
      </c>
      <c r="AP185" s="225">
        <v>0</v>
      </c>
      <c r="AQ185" s="225">
        <v>44000.84</v>
      </c>
      <c r="AR185" s="225">
        <v>390</v>
      </c>
      <c r="AS185" s="225">
        <v>149.15789473684211</v>
      </c>
      <c r="AT185" s="225">
        <v>0</v>
      </c>
      <c r="AU185" s="225">
        <v>444.34000000000003</v>
      </c>
      <c r="AV185" s="225">
        <f t="shared" si="82"/>
        <v>44984.337894736833</v>
      </c>
      <c r="AX185" s="225">
        <f t="shared" si="83"/>
        <v>0</v>
      </c>
      <c r="AY185" s="225">
        <f t="shared" si="84"/>
        <v>0</v>
      </c>
      <c r="AZ185" s="225">
        <f t="shared" si="85"/>
        <v>956.5399999999936</v>
      </c>
      <c r="BA185" s="225">
        <f t="shared" si="86"/>
        <v>195</v>
      </c>
      <c r="BB185" s="225">
        <f t="shared" si="87"/>
        <v>74.578947368421055</v>
      </c>
      <c r="BC185" s="225">
        <f t="shared" si="88"/>
        <v>0</v>
      </c>
      <c r="BD185" s="225">
        <f t="shared" si="89"/>
        <v>222.04000000000002</v>
      </c>
      <c r="BE185" s="225">
        <f t="shared" si="90"/>
        <v>1448.1589473684146</v>
      </c>
      <c r="BF185" s="225">
        <f t="shared" si="91"/>
        <v>0</v>
      </c>
      <c r="BG185" s="225">
        <f t="shared" si="64"/>
        <v>0</v>
      </c>
      <c r="BH185" s="225">
        <f t="shared" si="65"/>
        <v>0</v>
      </c>
      <c r="BI185" s="225">
        <f t="shared" si="66"/>
        <v>9565.3999999999942</v>
      </c>
      <c r="BJ185" s="225">
        <f t="shared" si="67"/>
        <v>234</v>
      </c>
      <c r="BK185" s="225">
        <f t="shared" si="68"/>
        <v>89.494736842105254</v>
      </c>
      <c r="BL185" s="225">
        <f t="shared" si="69"/>
        <v>0</v>
      </c>
      <c r="BM185" s="225">
        <f t="shared" si="70"/>
        <v>266.5</v>
      </c>
      <c r="BN185" s="225">
        <f t="shared" si="92"/>
        <v>10155.3947368421</v>
      </c>
      <c r="BO185" s="225">
        <f t="shared" si="71"/>
        <v>0</v>
      </c>
      <c r="BP185" s="225"/>
      <c r="BQ185" s="225"/>
      <c r="BR185" s="225"/>
      <c r="BS185" s="225"/>
      <c r="BT185" s="225"/>
      <c r="BU185" s="225"/>
      <c r="BV185" s="225"/>
      <c r="BW185" s="225"/>
      <c r="BY185" s="176"/>
      <c r="BZ185" s="176"/>
      <c r="CA185" s="176"/>
      <c r="CB185" s="176"/>
      <c r="CC185" s="176"/>
      <c r="CD185" s="176"/>
      <c r="CE185" s="176"/>
      <c r="CF185" s="176"/>
      <c r="CH185" s="248"/>
      <c r="CI185" s="248"/>
      <c r="CJ185" s="248"/>
      <c r="CK185" s="248"/>
      <c r="CL185" s="248"/>
      <c r="CM185" s="248"/>
      <c r="CN185" s="248"/>
      <c r="CO185" s="248"/>
      <c r="CQ185" s="248"/>
      <c r="CR185" s="248"/>
      <c r="CS185" s="248"/>
      <c r="CT185" s="248"/>
      <c r="CU185" s="248"/>
      <c r="CV185" s="248"/>
      <c r="CW185" s="248"/>
      <c r="CX185" s="248"/>
      <c r="CY185" s="248"/>
      <c r="DA185" s="248"/>
      <c r="DB185" s="248"/>
      <c r="DC185" s="248"/>
      <c r="DD185" s="248"/>
      <c r="DE185" s="248"/>
      <c r="DF185" s="248"/>
      <c r="DG185" s="248"/>
      <c r="DH185" s="248"/>
      <c r="DJ185" s="179" t="e">
        <f>#REF!+((SUMIFS($F185:$AM185,$F$3:$AM$3,$DJ$7)*80%))+SUMIFS(#REF!,#REF!,$DJ$7)</f>
        <v>#REF!</v>
      </c>
      <c r="DK185" s="179">
        <f t="shared" si="94"/>
        <v>0</v>
      </c>
      <c r="DL185" s="173" t="e">
        <f t="shared" si="93"/>
        <v>#REF!</v>
      </c>
    </row>
    <row r="186" spans="1:116">
      <c r="A186" s="168">
        <v>2104</v>
      </c>
      <c r="B186" s="2">
        <v>139126</v>
      </c>
      <c r="C186" s="2" t="s">
        <v>386</v>
      </c>
      <c r="D186" s="30"/>
      <c r="E186" s="226"/>
      <c r="F186" s="176">
        <v>0</v>
      </c>
      <c r="G186" s="176">
        <v>0</v>
      </c>
      <c r="H186" s="176">
        <v>0</v>
      </c>
      <c r="I186" s="176">
        <v>0</v>
      </c>
      <c r="J186" s="176">
        <v>0</v>
      </c>
      <c r="K186" s="176">
        <v>0</v>
      </c>
      <c r="L186" s="30">
        <f t="shared" si="73"/>
        <v>0</v>
      </c>
      <c r="M186" s="176">
        <f t="shared" si="74"/>
        <v>0</v>
      </c>
      <c r="N186" s="226"/>
      <c r="O186" s="176">
        <v>0</v>
      </c>
      <c r="P186" s="176">
        <v>0</v>
      </c>
      <c r="Q186" s="176">
        <v>0</v>
      </c>
      <c r="R186" s="176">
        <v>0</v>
      </c>
      <c r="S186" s="176">
        <v>0</v>
      </c>
      <c r="T186" s="176">
        <v>0</v>
      </c>
      <c r="U186" s="176">
        <f t="shared" si="75"/>
        <v>0</v>
      </c>
      <c r="V186" s="176">
        <f t="shared" si="76"/>
        <v>0</v>
      </c>
      <c r="W186" s="226"/>
      <c r="X186" s="247"/>
      <c r="Y186" s="176">
        <v>0</v>
      </c>
      <c r="Z186" s="176">
        <v>0</v>
      </c>
      <c r="AA186" s="176">
        <v>0</v>
      </c>
      <c r="AB186" s="176">
        <v>0</v>
      </c>
      <c r="AC186" s="176">
        <v>0</v>
      </c>
      <c r="AD186" s="176">
        <f t="shared" si="77"/>
        <v>0</v>
      </c>
      <c r="AE186" s="247">
        <f t="shared" si="78"/>
        <v>0</v>
      </c>
      <c r="AF186" s="226"/>
      <c r="AG186" s="247">
        <v>0</v>
      </c>
      <c r="AH186" s="247">
        <v>0</v>
      </c>
      <c r="AI186" s="247">
        <v>0</v>
      </c>
      <c r="AJ186" s="226"/>
      <c r="AK186" s="247">
        <f t="shared" si="79"/>
        <v>0</v>
      </c>
      <c r="AL186" s="247">
        <f t="shared" si="80"/>
        <v>0</v>
      </c>
      <c r="AM186" s="247">
        <f t="shared" si="81"/>
        <v>0</v>
      </c>
      <c r="AN186" s="225"/>
      <c r="AO186" s="225">
        <v>0</v>
      </c>
      <c r="AP186" s="225">
        <v>0</v>
      </c>
      <c r="AQ186" s="225">
        <v>0</v>
      </c>
      <c r="AR186" s="225">
        <v>0</v>
      </c>
      <c r="AS186" s="225">
        <v>0</v>
      </c>
      <c r="AT186" s="225">
        <v>0</v>
      </c>
      <c r="AU186" s="225">
        <v>0</v>
      </c>
      <c r="AV186" s="225">
        <f t="shared" si="82"/>
        <v>0</v>
      </c>
      <c r="AX186" s="225">
        <f t="shared" si="83"/>
        <v>0</v>
      </c>
      <c r="AY186" s="225">
        <f t="shared" si="84"/>
        <v>0</v>
      </c>
      <c r="AZ186" s="225">
        <f t="shared" si="85"/>
        <v>0</v>
      </c>
      <c r="BA186" s="225">
        <f t="shared" si="86"/>
        <v>0</v>
      </c>
      <c r="BB186" s="225">
        <f t="shared" si="87"/>
        <v>0</v>
      </c>
      <c r="BC186" s="225">
        <f t="shared" si="88"/>
        <v>0</v>
      </c>
      <c r="BD186" s="225">
        <f t="shared" si="89"/>
        <v>0</v>
      </c>
      <c r="BE186" s="225">
        <f t="shared" si="90"/>
        <v>0</v>
      </c>
      <c r="BF186" s="225">
        <f t="shared" si="91"/>
        <v>0</v>
      </c>
      <c r="BG186" s="225">
        <f t="shared" si="64"/>
        <v>0</v>
      </c>
      <c r="BH186" s="225">
        <f t="shared" si="65"/>
        <v>0</v>
      </c>
      <c r="BI186" s="225">
        <f t="shared" si="66"/>
        <v>0</v>
      </c>
      <c r="BJ186" s="225">
        <f t="shared" si="67"/>
        <v>0</v>
      </c>
      <c r="BK186" s="225">
        <f t="shared" si="68"/>
        <v>0</v>
      </c>
      <c r="BL186" s="225">
        <f t="shared" si="69"/>
        <v>0</v>
      </c>
      <c r="BM186" s="225">
        <f t="shared" si="70"/>
        <v>0</v>
      </c>
      <c r="BN186" s="225">
        <f t="shared" si="92"/>
        <v>0</v>
      </c>
      <c r="BO186" s="225">
        <f t="shared" si="71"/>
        <v>0</v>
      </c>
      <c r="BP186" s="225"/>
      <c r="BQ186" s="225"/>
      <c r="BR186" s="225"/>
      <c r="BS186" s="225"/>
      <c r="BT186" s="225"/>
      <c r="BU186" s="225"/>
      <c r="BV186" s="225"/>
      <c r="BW186" s="225"/>
      <c r="BY186" s="176"/>
      <c r="BZ186" s="176"/>
      <c r="CA186" s="176"/>
      <c r="CB186" s="176"/>
      <c r="CC186" s="176"/>
      <c r="CD186" s="176"/>
      <c r="CE186" s="176"/>
      <c r="CF186" s="176"/>
      <c r="CH186" s="248"/>
      <c r="CI186" s="248"/>
      <c r="CJ186" s="248"/>
      <c r="CK186" s="248"/>
      <c r="CL186" s="248"/>
      <c r="CM186" s="248"/>
      <c r="CN186" s="248"/>
      <c r="CO186" s="248"/>
      <c r="CQ186" s="248"/>
      <c r="CR186" s="248"/>
      <c r="CS186" s="248"/>
      <c r="CT186" s="248"/>
      <c r="CU186" s="248"/>
      <c r="CV186" s="248"/>
      <c r="CW186" s="248"/>
      <c r="CX186" s="248"/>
      <c r="CY186" s="248"/>
      <c r="DA186" s="248"/>
      <c r="DB186" s="248"/>
      <c r="DC186" s="248"/>
      <c r="DD186" s="248"/>
      <c r="DE186" s="248"/>
      <c r="DF186" s="248"/>
      <c r="DG186" s="248"/>
      <c r="DH186" s="248"/>
      <c r="DJ186" s="179" t="e">
        <f>#REF!+((SUMIFS($F186:$AM186,$F$3:$AM$3,$DJ$7)*80%))+SUMIFS(#REF!,#REF!,$DJ$7)</f>
        <v>#REF!</v>
      </c>
      <c r="DK186" s="179">
        <f t="shared" si="94"/>
        <v>0</v>
      </c>
      <c r="DL186" s="173" t="e">
        <f t="shared" si="93"/>
        <v>#REF!</v>
      </c>
    </row>
    <row r="187" spans="1:116">
      <c r="A187" s="168">
        <v>2120</v>
      </c>
      <c r="B187" s="2">
        <v>139267</v>
      </c>
      <c r="C187" s="2" t="s">
        <v>387</v>
      </c>
      <c r="D187" s="30"/>
      <c r="E187" s="226"/>
      <c r="F187" s="176">
        <v>0</v>
      </c>
      <c r="G187" s="176">
        <v>0</v>
      </c>
      <c r="H187" s="176">
        <v>0</v>
      </c>
      <c r="I187" s="176">
        <v>0</v>
      </c>
      <c r="J187" s="176">
        <v>0</v>
      </c>
      <c r="K187" s="176">
        <v>0</v>
      </c>
      <c r="L187" s="30">
        <f t="shared" si="73"/>
        <v>0</v>
      </c>
      <c r="M187" s="176">
        <f t="shared" si="74"/>
        <v>0</v>
      </c>
      <c r="N187" s="226"/>
      <c r="O187" s="176">
        <v>0</v>
      </c>
      <c r="P187" s="176">
        <v>0</v>
      </c>
      <c r="Q187" s="176">
        <v>0</v>
      </c>
      <c r="R187" s="176">
        <v>0</v>
      </c>
      <c r="S187" s="176">
        <v>0</v>
      </c>
      <c r="T187" s="176">
        <v>0</v>
      </c>
      <c r="U187" s="176">
        <f t="shared" si="75"/>
        <v>0</v>
      </c>
      <c r="V187" s="176">
        <f t="shared" si="76"/>
        <v>0</v>
      </c>
      <c r="W187" s="226"/>
      <c r="X187" s="247"/>
      <c r="Y187" s="176">
        <v>0</v>
      </c>
      <c r="Z187" s="176">
        <v>0</v>
      </c>
      <c r="AA187" s="176">
        <v>0</v>
      </c>
      <c r="AB187" s="176">
        <v>0</v>
      </c>
      <c r="AC187" s="176">
        <v>0</v>
      </c>
      <c r="AD187" s="176">
        <f t="shared" si="77"/>
        <v>0</v>
      </c>
      <c r="AE187" s="247">
        <f t="shared" si="78"/>
        <v>0</v>
      </c>
      <c r="AF187" s="226"/>
      <c r="AG187" s="247">
        <v>0</v>
      </c>
      <c r="AH187" s="247">
        <v>0</v>
      </c>
      <c r="AI187" s="247">
        <v>0</v>
      </c>
      <c r="AJ187" s="226"/>
      <c r="AK187" s="247">
        <f t="shared" si="79"/>
        <v>0</v>
      </c>
      <c r="AL187" s="247">
        <f t="shared" si="80"/>
        <v>0</v>
      </c>
      <c r="AM187" s="247">
        <f t="shared" si="81"/>
        <v>0</v>
      </c>
      <c r="AN187" s="225"/>
      <c r="AO187" s="225">
        <v>0</v>
      </c>
      <c r="AP187" s="225">
        <v>0</v>
      </c>
      <c r="AQ187" s="225">
        <v>0</v>
      </c>
      <c r="AR187" s="225">
        <v>0</v>
      </c>
      <c r="AS187" s="225">
        <v>0</v>
      </c>
      <c r="AT187" s="225">
        <v>0</v>
      </c>
      <c r="AU187" s="225">
        <v>0</v>
      </c>
      <c r="AV187" s="225">
        <f t="shared" si="82"/>
        <v>0</v>
      </c>
      <c r="AX187" s="225">
        <f t="shared" si="83"/>
        <v>0</v>
      </c>
      <c r="AY187" s="225">
        <f t="shared" si="84"/>
        <v>0</v>
      </c>
      <c r="AZ187" s="225">
        <f t="shared" si="85"/>
        <v>0</v>
      </c>
      <c r="BA187" s="225">
        <f t="shared" si="86"/>
        <v>0</v>
      </c>
      <c r="BB187" s="225">
        <f t="shared" si="87"/>
        <v>0</v>
      </c>
      <c r="BC187" s="225">
        <f t="shared" si="88"/>
        <v>0</v>
      </c>
      <c r="BD187" s="225">
        <f t="shared" si="89"/>
        <v>0</v>
      </c>
      <c r="BE187" s="225">
        <f t="shared" si="90"/>
        <v>0</v>
      </c>
      <c r="BF187" s="225">
        <f t="shared" si="91"/>
        <v>0</v>
      </c>
      <c r="BG187" s="225">
        <f t="shared" si="64"/>
        <v>0</v>
      </c>
      <c r="BH187" s="225">
        <f t="shared" si="65"/>
        <v>0</v>
      </c>
      <c r="BI187" s="225">
        <f t="shared" si="66"/>
        <v>0</v>
      </c>
      <c r="BJ187" s="225">
        <f t="shared" si="67"/>
        <v>0</v>
      </c>
      <c r="BK187" s="225">
        <f t="shared" si="68"/>
        <v>0</v>
      </c>
      <c r="BL187" s="225">
        <f t="shared" si="69"/>
        <v>0</v>
      </c>
      <c r="BM187" s="225">
        <f t="shared" si="70"/>
        <v>0</v>
      </c>
      <c r="BN187" s="225">
        <f t="shared" si="92"/>
        <v>0</v>
      </c>
      <c r="BO187" s="225">
        <f t="shared" si="71"/>
        <v>0</v>
      </c>
      <c r="BP187" s="225"/>
      <c r="BQ187" s="225"/>
      <c r="BR187" s="225"/>
      <c r="BS187" s="225"/>
      <c r="BT187" s="225"/>
      <c r="BU187" s="225"/>
      <c r="BV187" s="225"/>
      <c r="BW187" s="225"/>
      <c r="BY187" s="176"/>
      <c r="BZ187" s="176"/>
      <c r="CA187" s="176"/>
      <c r="CB187" s="176"/>
      <c r="CC187" s="176"/>
      <c r="CD187" s="176"/>
      <c r="CE187" s="176"/>
      <c r="CF187" s="176"/>
      <c r="CH187" s="248"/>
      <c r="CI187" s="248"/>
      <c r="CJ187" s="248"/>
      <c r="CK187" s="248"/>
      <c r="CL187" s="248"/>
      <c r="CM187" s="248"/>
      <c r="CN187" s="248"/>
      <c r="CO187" s="248"/>
      <c r="CQ187" s="248"/>
      <c r="CR187" s="248"/>
      <c r="CS187" s="248"/>
      <c r="CT187" s="248"/>
      <c r="CU187" s="248"/>
      <c r="CV187" s="248"/>
      <c r="CW187" s="248"/>
      <c r="CX187" s="248"/>
      <c r="CY187" s="248"/>
      <c r="DA187" s="248"/>
      <c r="DB187" s="248"/>
      <c r="DC187" s="248"/>
      <c r="DD187" s="248"/>
      <c r="DE187" s="248"/>
      <c r="DF187" s="248"/>
      <c r="DG187" s="248"/>
      <c r="DH187" s="248"/>
      <c r="DJ187" s="179" t="e">
        <f>#REF!+((SUMIFS($F187:$AM187,$F$3:$AM$3,$DJ$7)*80%))+SUMIFS(#REF!,#REF!,$DJ$7)</f>
        <v>#REF!</v>
      </c>
      <c r="DK187" s="179">
        <f t="shared" si="94"/>
        <v>0</v>
      </c>
      <c r="DL187" s="173" t="e">
        <f t="shared" si="93"/>
        <v>#REF!</v>
      </c>
    </row>
    <row r="188" spans="1:116">
      <c r="A188" s="168">
        <v>3358</v>
      </c>
      <c r="B188" s="2">
        <v>141820</v>
      </c>
      <c r="C188" s="2" t="s">
        <v>388</v>
      </c>
      <c r="D188" s="30"/>
      <c r="E188" s="226"/>
      <c r="F188" s="176">
        <v>0</v>
      </c>
      <c r="G188" s="176">
        <v>0</v>
      </c>
      <c r="H188" s="176">
        <v>0</v>
      </c>
      <c r="I188" s="176">
        <v>0</v>
      </c>
      <c r="J188" s="176">
        <v>0</v>
      </c>
      <c r="K188" s="176">
        <v>0</v>
      </c>
      <c r="L188" s="30">
        <f t="shared" si="73"/>
        <v>0</v>
      </c>
      <c r="M188" s="176">
        <f t="shared" si="74"/>
        <v>0</v>
      </c>
      <c r="N188" s="226"/>
      <c r="O188" s="176">
        <v>0</v>
      </c>
      <c r="P188" s="176">
        <v>0</v>
      </c>
      <c r="Q188" s="176">
        <v>0</v>
      </c>
      <c r="R188" s="176">
        <v>0</v>
      </c>
      <c r="S188" s="176">
        <v>0</v>
      </c>
      <c r="T188" s="176">
        <v>0</v>
      </c>
      <c r="U188" s="176">
        <f t="shared" si="75"/>
        <v>0</v>
      </c>
      <c r="V188" s="176">
        <f t="shared" si="76"/>
        <v>0</v>
      </c>
      <c r="W188" s="226"/>
      <c r="X188" s="247"/>
      <c r="Y188" s="176">
        <v>0</v>
      </c>
      <c r="Z188" s="176">
        <v>0</v>
      </c>
      <c r="AA188" s="176">
        <v>0</v>
      </c>
      <c r="AB188" s="176">
        <v>0</v>
      </c>
      <c r="AC188" s="176">
        <v>0</v>
      </c>
      <c r="AD188" s="176">
        <f t="shared" si="77"/>
        <v>0</v>
      </c>
      <c r="AE188" s="247">
        <f t="shared" si="78"/>
        <v>0</v>
      </c>
      <c r="AF188" s="226"/>
      <c r="AG188" s="247">
        <v>0</v>
      </c>
      <c r="AH188" s="247">
        <v>0</v>
      </c>
      <c r="AI188" s="247">
        <v>0</v>
      </c>
      <c r="AJ188" s="226"/>
      <c r="AK188" s="247">
        <f t="shared" si="79"/>
        <v>0</v>
      </c>
      <c r="AL188" s="247">
        <f t="shared" si="80"/>
        <v>0</v>
      </c>
      <c r="AM188" s="247">
        <f t="shared" si="81"/>
        <v>0</v>
      </c>
      <c r="AN188" s="225"/>
      <c r="AO188" s="225">
        <v>0</v>
      </c>
      <c r="AP188" s="225">
        <v>0</v>
      </c>
      <c r="AQ188" s="225">
        <v>0</v>
      </c>
      <c r="AR188" s="225">
        <v>0</v>
      </c>
      <c r="AS188" s="225">
        <v>0</v>
      </c>
      <c r="AT188" s="225">
        <v>0</v>
      </c>
      <c r="AU188" s="225">
        <v>0</v>
      </c>
      <c r="AV188" s="225">
        <f t="shared" si="82"/>
        <v>0</v>
      </c>
      <c r="AX188" s="225">
        <f t="shared" si="83"/>
        <v>0</v>
      </c>
      <c r="AY188" s="225">
        <f t="shared" si="84"/>
        <v>0</v>
      </c>
      <c r="AZ188" s="225">
        <f t="shared" si="85"/>
        <v>0</v>
      </c>
      <c r="BA188" s="225">
        <f t="shared" si="86"/>
        <v>0</v>
      </c>
      <c r="BB188" s="225">
        <f t="shared" si="87"/>
        <v>0</v>
      </c>
      <c r="BC188" s="225">
        <f t="shared" si="88"/>
        <v>0</v>
      </c>
      <c r="BD188" s="225">
        <f t="shared" si="89"/>
        <v>0</v>
      </c>
      <c r="BE188" s="225">
        <f t="shared" si="90"/>
        <v>0</v>
      </c>
      <c r="BF188" s="225">
        <f t="shared" si="91"/>
        <v>0</v>
      </c>
      <c r="BG188" s="225">
        <f t="shared" si="64"/>
        <v>0</v>
      </c>
      <c r="BH188" s="225">
        <f t="shared" si="65"/>
        <v>0</v>
      </c>
      <c r="BI188" s="225">
        <f t="shared" si="66"/>
        <v>0</v>
      </c>
      <c r="BJ188" s="225">
        <f t="shared" si="67"/>
        <v>0</v>
      </c>
      <c r="BK188" s="225">
        <f t="shared" si="68"/>
        <v>0</v>
      </c>
      <c r="BL188" s="225">
        <f t="shared" si="69"/>
        <v>0</v>
      </c>
      <c r="BM188" s="225">
        <f t="shared" si="70"/>
        <v>0</v>
      </c>
      <c r="BN188" s="225">
        <f t="shared" si="92"/>
        <v>0</v>
      </c>
      <c r="BO188" s="225">
        <f t="shared" si="71"/>
        <v>0</v>
      </c>
      <c r="BP188" s="225"/>
      <c r="BQ188" s="225"/>
      <c r="BR188" s="225"/>
      <c r="BS188" s="225"/>
      <c r="BT188" s="225"/>
      <c r="BU188" s="225"/>
      <c r="BV188" s="225"/>
      <c r="BW188" s="225"/>
      <c r="BY188" s="176"/>
      <c r="BZ188" s="176"/>
      <c r="CA188" s="176"/>
      <c r="CB188" s="176"/>
      <c r="CC188" s="176"/>
      <c r="CD188" s="176"/>
      <c r="CE188" s="176"/>
      <c r="CF188" s="176"/>
      <c r="CH188" s="248"/>
      <c r="CI188" s="248"/>
      <c r="CJ188" s="248"/>
      <c r="CK188" s="248"/>
      <c r="CL188" s="248"/>
      <c r="CM188" s="248"/>
      <c r="CN188" s="248"/>
      <c r="CO188" s="248"/>
      <c r="CQ188" s="248"/>
      <c r="CR188" s="248"/>
      <c r="CS188" s="248"/>
      <c r="CT188" s="248"/>
      <c r="CU188" s="248"/>
      <c r="CV188" s="248"/>
      <c r="CW188" s="248"/>
      <c r="CX188" s="248"/>
      <c r="CY188" s="248"/>
      <c r="DA188" s="248"/>
      <c r="DB188" s="248"/>
      <c r="DC188" s="248"/>
      <c r="DD188" s="248"/>
      <c r="DE188" s="248"/>
      <c r="DF188" s="248"/>
      <c r="DG188" s="248"/>
      <c r="DH188" s="248"/>
      <c r="DJ188" s="179" t="e">
        <f>#REF!+((SUMIFS($F188:$AM188,$F$3:$AM$3,$DJ$7)*80%))+SUMIFS(#REF!,#REF!,$DJ$7)</f>
        <v>#REF!</v>
      </c>
      <c r="DK188" s="179">
        <f t="shared" si="94"/>
        <v>0</v>
      </c>
      <c r="DL188" s="173" t="e">
        <f t="shared" si="93"/>
        <v>#REF!</v>
      </c>
    </row>
    <row r="189" spans="1:116">
      <c r="A189" s="168">
        <v>3360</v>
      </c>
      <c r="B189" s="2">
        <v>148266</v>
      </c>
      <c r="C189" s="2" t="s">
        <v>389</v>
      </c>
      <c r="D189" s="30"/>
      <c r="E189" s="226"/>
      <c r="F189" s="176">
        <v>0</v>
      </c>
      <c r="G189" s="176">
        <v>0</v>
      </c>
      <c r="H189" s="176">
        <v>0</v>
      </c>
      <c r="I189" s="176">
        <v>0</v>
      </c>
      <c r="J189" s="176">
        <v>0</v>
      </c>
      <c r="K189" s="176">
        <v>0</v>
      </c>
      <c r="L189" s="30">
        <f t="shared" si="73"/>
        <v>0</v>
      </c>
      <c r="M189" s="176">
        <f t="shared" si="74"/>
        <v>0</v>
      </c>
      <c r="N189" s="226"/>
      <c r="O189" s="176">
        <v>0</v>
      </c>
      <c r="P189" s="176">
        <v>0</v>
      </c>
      <c r="Q189" s="176">
        <v>0</v>
      </c>
      <c r="R189" s="176">
        <v>0</v>
      </c>
      <c r="S189" s="176">
        <v>0</v>
      </c>
      <c r="T189" s="176">
        <v>0</v>
      </c>
      <c r="U189" s="176">
        <f t="shared" si="75"/>
        <v>0</v>
      </c>
      <c r="V189" s="176">
        <f t="shared" si="76"/>
        <v>0</v>
      </c>
      <c r="W189" s="226"/>
      <c r="X189" s="247"/>
      <c r="Y189" s="176">
        <v>0</v>
      </c>
      <c r="Z189" s="176">
        <v>0</v>
      </c>
      <c r="AA189" s="176">
        <v>0</v>
      </c>
      <c r="AB189" s="176">
        <v>0</v>
      </c>
      <c r="AC189" s="176">
        <v>0</v>
      </c>
      <c r="AD189" s="176">
        <f t="shared" si="77"/>
        <v>0</v>
      </c>
      <c r="AE189" s="247">
        <f t="shared" si="78"/>
        <v>0</v>
      </c>
      <c r="AF189" s="226"/>
      <c r="AG189" s="247">
        <v>0</v>
      </c>
      <c r="AH189" s="247">
        <v>0</v>
      </c>
      <c r="AI189" s="247">
        <v>0</v>
      </c>
      <c r="AJ189" s="226"/>
      <c r="AK189" s="247">
        <f t="shared" si="79"/>
        <v>0</v>
      </c>
      <c r="AL189" s="247">
        <f t="shared" si="80"/>
        <v>0</v>
      </c>
      <c r="AM189" s="247">
        <f t="shared" si="81"/>
        <v>0</v>
      </c>
      <c r="AN189" s="225"/>
      <c r="AO189" s="225">
        <v>0</v>
      </c>
      <c r="AP189" s="225">
        <v>0</v>
      </c>
      <c r="AQ189" s="225">
        <v>0</v>
      </c>
      <c r="AR189" s="225">
        <v>0</v>
      </c>
      <c r="AS189" s="225">
        <v>0</v>
      </c>
      <c r="AT189" s="225">
        <v>0</v>
      </c>
      <c r="AU189" s="225">
        <v>0</v>
      </c>
      <c r="AV189" s="225">
        <f t="shared" si="82"/>
        <v>0</v>
      </c>
      <c r="AX189" s="225">
        <f t="shared" si="83"/>
        <v>0</v>
      </c>
      <c r="AY189" s="225">
        <f t="shared" si="84"/>
        <v>0</v>
      </c>
      <c r="AZ189" s="225">
        <f t="shared" si="85"/>
        <v>0</v>
      </c>
      <c r="BA189" s="225">
        <f t="shared" si="86"/>
        <v>0</v>
      </c>
      <c r="BB189" s="225">
        <f t="shared" si="87"/>
        <v>0</v>
      </c>
      <c r="BC189" s="225">
        <f t="shared" si="88"/>
        <v>0</v>
      </c>
      <c r="BD189" s="225">
        <f t="shared" si="89"/>
        <v>0</v>
      </c>
      <c r="BE189" s="225">
        <f t="shared" si="90"/>
        <v>0</v>
      </c>
      <c r="BF189" s="225">
        <f t="shared" si="91"/>
        <v>0</v>
      </c>
      <c r="BG189" s="225">
        <f t="shared" si="64"/>
        <v>0</v>
      </c>
      <c r="BH189" s="225">
        <f t="shared" si="65"/>
        <v>0</v>
      </c>
      <c r="BI189" s="225">
        <f t="shared" si="66"/>
        <v>0</v>
      </c>
      <c r="BJ189" s="225">
        <f t="shared" si="67"/>
        <v>0</v>
      </c>
      <c r="BK189" s="225">
        <f t="shared" si="68"/>
        <v>0</v>
      </c>
      <c r="BL189" s="225">
        <f t="shared" si="69"/>
        <v>0</v>
      </c>
      <c r="BM189" s="225">
        <f t="shared" si="70"/>
        <v>0</v>
      </c>
      <c r="BN189" s="225">
        <f t="shared" si="92"/>
        <v>0</v>
      </c>
      <c r="BO189" s="225">
        <f t="shared" si="71"/>
        <v>0</v>
      </c>
      <c r="BP189" s="225"/>
      <c r="BQ189" s="225"/>
      <c r="BR189" s="225"/>
      <c r="BS189" s="225"/>
      <c r="BT189" s="225"/>
      <c r="BU189" s="225"/>
      <c r="BV189" s="225"/>
      <c r="BW189" s="225"/>
      <c r="BY189" s="176"/>
      <c r="BZ189" s="176"/>
      <c r="CA189" s="176"/>
      <c r="CB189" s="176"/>
      <c r="CC189" s="176"/>
      <c r="CD189" s="176"/>
      <c r="CE189" s="176"/>
      <c r="CF189" s="176"/>
      <c r="CH189" s="248"/>
      <c r="CI189" s="248"/>
      <c r="CJ189" s="248"/>
      <c r="CK189" s="248"/>
      <c r="CL189" s="248"/>
      <c r="CM189" s="248"/>
      <c r="CN189" s="248"/>
      <c r="CO189" s="248"/>
      <c r="CQ189" s="248"/>
      <c r="CR189" s="248"/>
      <c r="CS189" s="248"/>
      <c r="CT189" s="248"/>
      <c r="CU189" s="248"/>
      <c r="CV189" s="248"/>
      <c r="CW189" s="248"/>
      <c r="CX189" s="248"/>
      <c r="CY189" s="248"/>
      <c r="DA189" s="248"/>
      <c r="DB189" s="248"/>
      <c r="DC189" s="248"/>
      <c r="DD189" s="248"/>
      <c r="DE189" s="248"/>
      <c r="DF189" s="248"/>
      <c r="DG189" s="248"/>
      <c r="DH189" s="248"/>
      <c r="DJ189" s="179" t="e">
        <f>#REF!+((SUMIFS($F189:$AM189,$F$3:$AM$3,$DJ$7)*80%))+SUMIFS(#REF!,#REF!,$DJ$7)</f>
        <v>#REF!</v>
      </c>
      <c r="DK189" s="179">
        <f t="shared" si="94"/>
        <v>0</v>
      </c>
      <c r="DL189" s="173" t="e">
        <f t="shared" si="93"/>
        <v>#REF!</v>
      </c>
    </row>
    <row r="190" spans="1:116">
      <c r="A190" s="168">
        <v>2071</v>
      </c>
      <c r="B190" s="2">
        <v>138883</v>
      </c>
      <c r="C190" s="2" t="s">
        <v>390</v>
      </c>
      <c r="D190" s="30"/>
      <c r="E190" s="226"/>
      <c r="F190" s="176">
        <v>0</v>
      </c>
      <c r="G190" s="176">
        <v>0</v>
      </c>
      <c r="H190" s="176">
        <v>0</v>
      </c>
      <c r="I190" s="176">
        <v>0</v>
      </c>
      <c r="J190" s="176">
        <v>0</v>
      </c>
      <c r="K190" s="176">
        <v>0</v>
      </c>
      <c r="L190" s="30">
        <f t="shared" si="73"/>
        <v>0</v>
      </c>
      <c r="M190" s="176">
        <f t="shared" si="74"/>
        <v>0</v>
      </c>
      <c r="N190" s="226"/>
      <c r="O190" s="176">
        <v>0</v>
      </c>
      <c r="P190" s="176">
        <v>0</v>
      </c>
      <c r="Q190" s="176">
        <v>0</v>
      </c>
      <c r="R190" s="176">
        <v>0</v>
      </c>
      <c r="S190" s="176">
        <v>0</v>
      </c>
      <c r="T190" s="176">
        <v>0</v>
      </c>
      <c r="U190" s="176">
        <f t="shared" si="75"/>
        <v>0</v>
      </c>
      <c r="V190" s="176">
        <f t="shared" si="76"/>
        <v>0</v>
      </c>
      <c r="W190" s="226"/>
      <c r="X190" s="247"/>
      <c r="Y190" s="176">
        <v>0</v>
      </c>
      <c r="Z190" s="176">
        <v>0</v>
      </c>
      <c r="AA190" s="176">
        <v>0</v>
      </c>
      <c r="AB190" s="176">
        <v>0</v>
      </c>
      <c r="AC190" s="176">
        <v>0</v>
      </c>
      <c r="AD190" s="176">
        <f t="shared" si="77"/>
        <v>0</v>
      </c>
      <c r="AE190" s="247">
        <f t="shared" si="78"/>
        <v>0</v>
      </c>
      <c r="AF190" s="226"/>
      <c r="AG190" s="247">
        <v>0</v>
      </c>
      <c r="AH190" s="247">
        <v>0</v>
      </c>
      <c r="AI190" s="247">
        <v>0</v>
      </c>
      <c r="AJ190" s="226"/>
      <c r="AK190" s="247">
        <f t="shared" si="79"/>
        <v>0</v>
      </c>
      <c r="AL190" s="247">
        <f t="shared" si="80"/>
        <v>0</v>
      </c>
      <c r="AM190" s="247">
        <f t="shared" si="81"/>
        <v>0</v>
      </c>
      <c r="AN190" s="225"/>
      <c r="AO190" s="225">
        <v>0</v>
      </c>
      <c r="AP190" s="225">
        <v>0</v>
      </c>
      <c r="AQ190" s="225">
        <v>0</v>
      </c>
      <c r="AR190" s="225">
        <v>0</v>
      </c>
      <c r="AS190" s="225">
        <v>0</v>
      </c>
      <c r="AT190" s="225">
        <v>0</v>
      </c>
      <c r="AU190" s="225">
        <v>0</v>
      </c>
      <c r="AV190" s="225">
        <f t="shared" si="82"/>
        <v>0</v>
      </c>
      <c r="AX190" s="225">
        <f t="shared" si="83"/>
        <v>0</v>
      </c>
      <c r="AY190" s="225">
        <f t="shared" si="84"/>
        <v>0</v>
      </c>
      <c r="AZ190" s="225">
        <f t="shared" si="85"/>
        <v>0</v>
      </c>
      <c r="BA190" s="225">
        <f t="shared" si="86"/>
        <v>0</v>
      </c>
      <c r="BB190" s="225">
        <f t="shared" si="87"/>
        <v>0</v>
      </c>
      <c r="BC190" s="225">
        <f t="shared" si="88"/>
        <v>0</v>
      </c>
      <c r="BD190" s="225">
        <f t="shared" si="89"/>
        <v>0</v>
      </c>
      <c r="BE190" s="225">
        <f t="shared" si="90"/>
        <v>0</v>
      </c>
      <c r="BF190" s="225">
        <f t="shared" si="91"/>
        <v>0</v>
      </c>
      <c r="BG190" s="225">
        <f t="shared" si="64"/>
        <v>0</v>
      </c>
      <c r="BH190" s="225">
        <f t="shared" si="65"/>
        <v>0</v>
      </c>
      <c r="BI190" s="225">
        <f t="shared" si="66"/>
        <v>0</v>
      </c>
      <c r="BJ190" s="225">
        <f t="shared" si="67"/>
        <v>0</v>
      </c>
      <c r="BK190" s="225">
        <f t="shared" si="68"/>
        <v>0</v>
      </c>
      <c r="BL190" s="225">
        <f t="shared" si="69"/>
        <v>0</v>
      </c>
      <c r="BM190" s="225">
        <f t="shared" si="70"/>
        <v>0</v>
      </c>
      <c r="BN190" s="225">
        <f t="shared" si="92"/>
        <v>0</v>
      </c>
      <c r="BO190" s="225">
        <f t="shared" si="71"/>
        <v>0</v>
      </c>
      <c r="BP190" s="225"/>
      <c r="BQ190" s="225"/>
      <c r="BR190" s="225"/>
      <c r="BS190" s="225"/>
      <c r="BT190" s="225"/>
      <c r="BU190" s="225"/>
      <c r="BV190" s="225"/>
      <c r="BW190" s="225"/>
      <c r="BY190" s="176"/>
      <c r="BZ190" s="176"/>
      <c r="CA190" s="176"/>
      <c r="CB190" s="176"/>
      <c r="CC190" s="176"/>
      <c r="CD190" s="176"/>
      <c r="CE190" s="176"/>
      <c r="CF190" s="176"/>
      <c r="CH190" s="248"/>
      <c r="CI190" s="248"/>
      <c r="CJ190" s="248"/>
      <c r="CK190" s="248"/>
      <c r="CL190" s="248"/>
      <c r="CM190" s="248"/>
      <c r="CN190" s="248"/>
      <c r="CO190" s="248"/>
      <c r="CQ190" s="248"/>
      <c r="CR190" s="248"/>
      <c r="CS190" s="248"/>
      <c r="CT190" s="248"/>
      <c r="CU190" s="248"/>
      <c r="CV190" s="248"/>
      <c r="CW190" s="248"/>
      <c r="CX190" s="248"/>
      <c r="CY190" s="248"/>
      <c r="DA190" s="248"/>
      <c r="DB190" s="248"/>
      <c r="DC190" s="248"/>
      <c r="DD190" s="248"/>
      <c r="DE190" s="248"/>
      <c r="DF190" s="248"/>
      <c r="DG190" s="248"/>
      <c r="DH190" s="248"/>
      <c r="DJ190" s="179" t="e">
        <f>#REF!+((SUMIFS($F190:$AM190,$F$3:$AM$3,$DJ$7)*80%))+SUMIFS(#REF!,#REF!,$DJ$7)</f>
        <v>#REF!</v>
      </c>
      <c r="DK190" s="179">
        <f t="shared" si="94"/>
        <v>0</v>
      </c>
      <c r="DL190" s="173" t="e">
        <f t="shared" si="93"/>
        <v>#REF!</v>
      </c>
    </row>
    <row r="191" spans="1:116">
      <c r="A191" s="168">
        <v>3306</v>
      </c>
      <c r="B191" s="2">
        <v>139173</v>
      </c>
      <c r="C191" s="2" t="s">
        <v>391</v>
      </c>
      <c r="D191" s="30"/>
      <c r="E191" s="226"/>
      <c r="F191" s="176">
        <v>0</v>
      </c>
      <c r="G191" s="176">
        <v>0</v>
      </c>
      <c r="H191" s="176">
        <v>51873.9</v>
      </c>
      <c r="I191" s="176">
        <v>2340</v>
      </c>
      <c r="J191" s="176">
        <v>0</v>
      </c>
      <c r="K191" s="176">
        <v>0</v>
      </c>
      <c r="L191" s="30">
        <f t="shared" si="73"/>
        <v>54213.9</v>
      </c>
      <c r="M191" s="176">
        <f t="shared" si="74"/>
        <v>43371.12</v>
      </c>
      <c r="N191" s="226"/>
      <c r="O191" s="176">
        <v>0</v>
      </c>
      <c r="P191" s="176">
        <v>0</v>
      </c>
      <c r="Q191" s="176">
        <v>38629.5</v>
      </c>
      <c r="R191" s="176">
        <v>0</v>
      </c>
      <c r="S191" s="176">
        <v>0</v>
      </c>
      <c r="T191" s="176">
        <v>0</v>
      </c>
      <c r="U191" s="176">
        <f t="shared" si="75"/>
        <v>38629.5</v>
      </c>
      <c r="V191" s="176">
        <f t="shared" si="76"/>
        <v>30903.600000000002</v>
      </c>
      <c r="W191" s="226"/>
      <c r="X191" s="247"/>
      <c r="Y191" s="176">
        <v>0</v>
      </c>
      <c r="Z191" s="176">
        <v>41824.421052631587</v>
      </c>
      <c r="AA191" s="176">
        <v>1193.6842105263158</v>
      </c>
      <c r="AB191" s="176">
        <v>0</v>
      </c>
      <c r="AC191" s="176">
        <v>0</v>
      </c>
      <c r="AD191" s="176">
        <f t="shared" si="77"/>
        <v>43018.1052631579</v>
      </c>
      <c r="AE191" s="247">
        <f t="shared" si="78"/>
        <v>34414.484210526323</v>
      </c>
      <c r="AF191" s="226"/>
      <c r="AG191" s="247">
        <v>696.15</v>
      </c>
      <c r="AH191" s="247">
        <v>508.95000000000005</v>
      </c>
      <c r="AI191" s="247">
        <v>558.7578947368421</v>
      </c>
      <c r="AJ191" s="226"/>
      <c r="AK191" s="247">
        <f t="shared" si="79"/>
        <v>556.91999999999996</v>
      </c>
      <c r="AL191" s="247">
        <f t="shared" si="80"/>
        <v>407.16000000000008</v>
      </c>
      <c r="AM191" s="247">
        <f t="shared" si="81"/>
        <v>447.00631578947372</v>
      </c>
      <c r="AN191" s="225"/>
      <c r="AO191" s="225">
        <v>0</v>
      </c>
      <c r="AP191" s="225">
        <v>0</v>
      </c>
      <c r="AQ191" s="225">
        <v>41940.6</v>
      </c>
      <c r="AR191" s="225">
        <v>1365</v>
      </c>
      <c r="AS191" s="225">
        <v>0</v>
      </c>
      <c r="AT191" s="225">
        <v>0</v>
      </c>
      <c r="AU191" s="225">
        <v>549.9</v>
      </c>
      <c r="AV191" s="225">
        <f t="shared" si="82"/>
        <v>43855.5</v>
      </c>
      <c r="AX191" s="225">
        <f t="shared" si="83"/>
        <v>0</v>
      </c>
      <c r="AY191" s="225">
        <f t="shared" si="84"/>
        <v>0</v>
      </c>
      <c r="AZ191" s="225">
        <f t="shared" si="85"/>
        <v>-9933.3000000000029</v>
      </c>
      <c r="BA191" s="225">
        <f t="shared" si="86"/>
        <v>-975</v>
      </c>
      <c r="BB191" s="225">
        <f t="shared" si="87"/>
        <v>0</v>
      </c>
      <c r="BC191" s="225">
        <f t="shared" si="88"/>
        <v>0</v>
      </c>
      <c r="BD191" s="225">
        <f t="shared" si="89"/>
        <v>-146.25</v>
      </c>
      <c r="BE191" s="225">
        <f t="shared" si="90"/>
        <v>-11054.550000000003</v>
      </c>
      <c r="BF191" s="225">
        <f t="shared" si="91"/>
        <v>0</v>
      </c>
      <c r="BG191" s="225">
        <f t="shared" si="64"/>
        <v>0</v>
      </c>
      <c r="BH191" s="225">
        <f t="shared" si="65"/>
        <v>0</v>
      </c>
      <c r="BI191" s="225">
        <f t="shared" si="66"/>
        <v>441.47999999999593</v>
      </c>
      <c r="BJ191" s="225">
        <f t="shared" si="67"/>
        <v>-507</v>
      </c>
      <c r="BK191" s="225">
        <f t="shared" si="68"/>
        <v>0</v>
      </c>
      <c r="BL191" s="225">
        <f t="shared" si="69"/>
        <v>0</v>
      </c>
      <c r="BM191" s="225">
        <f t="shared" si="70"/>
        <v>-7.0199999999999818</v>
      </c>
      <c r="BN191" s="225">
        <f t="shared" si="92"/>
        <v>-72.540000000004056</v>
      </c>
      <c r="BO191" s="225">
        <f t="shared" si="71"/>
        <v>0</v>
      </c>
      <c r="BP191" s="225"/>
      <c r="BQ191" s="225"/>
      <c r="BR191" s="225"/>
      <c r="BS191" s="225"/>
      <c r="BT191" s="225"/>
      <c r="BU191" s="225"/>
      <c r="BV191" s="225"/>
      <c r="BW191" s="225"/>
      <c r="BY191" s="176"/>
      <c r="BZ191" s="176"/>
      <c r="CA191" s="176"/>
      <c r="CB191" s="176"/>
      <c r="CC191" s="176"/>
      <c r="CD191" s="176"/>
      <c r="CE191" s="176"/>
      <c r="CF191" s="176"/>
      <c r="CH191" s="248"/>
      <c r="CI191" s="248"/>
      <c r="CJ191" s="248"/>
      <c r="CK191" s="248"/>
      <c r="CL191" s="248"/>
      <c r="CM191" s="248"/>
      <c r="CN191" s="248"/>
      <c r="CO191" s="248"/>
      <c r="CQ191" s="248"/>
      <c r="CR191" s="248"/>
      <c r="CS191" s="248"/>
      <c r="CT191" s="248"/>
      <c r="CU191" s="248"/>
      <c r="CV191" s="248"/>
      <c r="CW191" s="248"/>
      <c r="CX191" s="248"/>
      <c r="CY191" s="248"/>
      <c r="DA191" s="248"/>
      <c r="DB191" s="248"/>
      <c r="DC191" s="248"/>
      <c r="DD191" s="248"/>
      <c r="DE191" s="248"/>
      <c r="DF191" s="248"/>
      <c r="DG191" s="248"/>
      <c r="DH191" s="248"/>
      <c r="DJ191" s="179" t="e">
        <f>#REF!+((SUMIFS($F191:$AM191,$F$3:$AM$3,$DJ$7)*80%))+SUMIFS(#REF!,#REF!,$DJ$7)</f>
        <v>#REF!</v>
      </c>
      <c r="DK191" s="179">
        <f t="shared" si="94"/>
        <v>0</v>
      </c>
      <c r="DL191" s="173" t="e">
        <f t="shared" si="93"/>
        <v>#REF!</v>
      </c>
    </row>
    <row r="192" spans="1:116">
      <c r="A192" s="168">
        <v>2158</v>
      </c>
      <c r="B192" s="2">
        <v>141670</v>
      </c>
      <c r="C192" s="2" t="s">
        <v>392</v>
      </c>
      <c r="D192" s="30"/>
      <c r="E192" s="226"/>
      <c r="F192" s="176">
        <v>0</v>
      </c>
      <c r="G192" s="176">
        <v>0</v>
      </c>
      <c r="H192" s="176">
        <v>0</v>
      </c>
      <c r="I192" s="176">
        <v>0</v>
      </c>
      <c r="J192" s="176">
        <v>0</v>
      </c>
      <c r="K192" s="176">
        <v>0</v>
      </c>
      <c r="L192" s="30">
        <f t="shared" si="73"/>
        <v>0</v>
      </c>
      <c r="M192" s="176">
        <f t="shared" si="74"/>
        <v>0</v>
      </c>
      <c r="N192" s="226"/>
      <c r="O192" s="176">
        <v>0</v>
      </c>
      <c r="P192" s="176">
        <v>0</v>
      </c>
      <c r="Q192" s="176">
        <v>0</v>
      </c>
      <c r="R192" s="176">
        <v>0</v>
      </c>
      <c r="S192" s="176">
        <v>0</v>
      </c>
      <c r="T192" s="176">
        <v>0</v>
      </c>
      <c r="U192" s="176">
        <f t="shared" si="75"/>
        <v>0</v>
      </c>
      <c r="V192" s="176">
        <f t="shared" si="76"/>
        <v>0</v>
      </c>
      <c r="W192" s="226"/>
      <c r="X192" s="247"/>
      <c r="Y192" s="176">
        <v>0</v>
      </c>
      <c r="Z192" s="176">
        <v>0</v>
      </c>
      <c r="AA192" s="176">
        <v>0</v>
      </c>
      <c r="AB192" s="176">
        <v>0</v>
      </c>
      <c r="AC192" s="176">
        <v>0</v>
      </c>
      <c r="AD192" s="176">
        <f t="shared" si="77"/>
        <v>0</v>
      </c>
      <c r="AE192" s="247">
        <f t="shared" si="78"/>
        <v>0</v>
      </c>
      <c r="AF192" s="226"/>
      <c r="AG192" s="247">
        <v>0</v>
      </c>
      <c r="AH192" s="247">
        <v>0</v>
      </c>
      <c r="AI192" s="247">
        <v>0</v>
      </c>
      <c r="AJ192" s="226"/>
      <c r="AK192" s="247">
        <f t="shared" si="79"/>
        <v>0</v>
      </c>
      <c r="AL192" s="247">
        <f t="shared" si="80"/>
        <v>0</v>
      </c>
      <c r="AM192" s="247">
        <f t="shared" si="81"/>
        <v>0</v>
      </c>
      <c r="AN192" s="225"/>
      <c r="AO192" s="225">
        <v>0</v>
      </c>
      <c r="AP192" s="225">
        <v>0</v>
      </c>
      <c r="AQ192" s="225">
        <v>0</v>
      </c>
      <c r="AR192" s="225">
        <v>0</v>
      </c>
      <c r="AS192" s="225">
        <v>0</v>
      </c>
      <c r="AT192" s="225">
        <v>0</v>
      </c>
      <c r="AU192" s="225">
        <v>0</v>
      </c>
      <c r="AV192" s="225">
        <f t="shared" si="82"/>
        <v>0</v>
      </c>
      <c r="AX192" s="225">
        <f t="shared" si="83"/>
        <v>0</v>
      </c>
      <c r="AY192" s="225">
        <f t="shared" si="84"/>
        <v>0</v>
      </c>
      <c r="AZ192" s="225">
        <f t="shared" si="85"/>
        <v>0</v>
      </c>
      <c r="BA192" s="225">
        <f t="shared" si="86"/>
        <v>0</v>
      </c>
      <c r="BB192" s="225">
        <f t="shared" si="87"/>
        <v>0</v>
      </c>
      <c r="BC192" s="225">
        <f t="shared" si="88"/>
        <v>0</v>
      </c>
      <c r="BD192" s="225">
        <f t="shared" si="89"/>
        <v>0</v>
      </c>
      <c r="BE192" s="225">
        <f t="shared" si="90"/>
        <v>0</v>
      </c>
      <c r="BF192" s="225">
        <f t="shared" si="91"/>
        <v>0</v>
      </c>
      <c r="BG192" s="225">
        <f t="shared" si="64"/>
        <v>0</v>
      </c>
      <c r="BH192" s="225">
        <f t="shared" si="65"/>
        <v>0</v>
      </c>
      <c r="BI192" s="225">
        <f t="shared" si="66"/>
        <v>0</v>
      </c>
      <c r="BJ192" s="225">
        <f t="shared" si="67"/>
        <v>0</v>
      </c>
      <c r="BK192" s="225">
        <f t="shared" si="68"/>
        <v>0</v>
      </c>
      <c r="BL192" s="225">
        <f t="shared" si="69"/>
        <v>0</v>
      </c>
      <c r="BM192" s="225">
        <f t="shared" si="70"/>
        <v>0</v>
      </c>
      <c r="BN192" s="225">
        <f t="shared" si="92"/>
        <v>0</v>
      </c>
      <c r="BO192" s="225">
        <f t="shared" si="71"/>
        <v>0</v>
      </c>
      <c r="BP192" s="225"/>
      <c r="BQ192" s="225"/>
      <c r="BR192" s="225"/>
      <c r="BS192" s="225"/>
      <c r="BT192" s="225"/>
      <c r="BU192" s="225"/>
      <c r="BV192" s="225"/>
      <c r="BW192" s="225"/>
      <c r="BY192" s="176"/>
      <c r="BZ192" s="176"/>
      <c r="CA192" s="176"/>
      <c r="CB192" s="176"/>
      <c r="CC192" s="176"/>
      <c r="CD192" s="176"/>
      <c r="CE192" s="176"/>
      <c r="CF192" s="176"/>
      <c r="CH192" s="248"/>
      <c r="CI192" s="248"/>
      <c r="CJ192" s="248"/>
      <c r="CK192" s="248"/>
      <c r="CL192" s="248"/>
      <c r="CM192" s="248"/>
      <c r="CN192" s="248"/>
      <c r="CO192" s="248"/>
      <c r="CQ192" s="248"/>
      <c r="CR192" s="248"/>
      <c r="CS192" s="248"/>
      <c r="CT192" s="248"/>
      <c r="CU192" s="248"/>
      <c r="CV192" s="248"/>
      <c r="CW192" s="248"/>
      <c r="CX192" s="248"/>
      <c r="CY192" s="248"/>
      <c r="DA192" s="248"/>
      <c r="DB192" s="248"/>
      <c r="DC192" s="248"/>
      <c r="DD192" s="248"/>
      <c r="DE192" s="248"/>
      <c r="DF192" s="248"/>
      <c r="DG192" s="248"/>
      <c r="DH192" s="248"/>
      <c r="DJ192" s="179" t="e">
        <f>#REF!+((SUMIFS($F192:$AM192,$F$3:$AM$3,$DJ$7)*80%))+SUMIFS(#REF!,#REF!,$DJ$7)</f>
        <v>#REF!</v>
      </c>
      <c r="DK192" s="179">
        <f t="shared" si="94"/>
        <v>0</v>
      </c>
      <c r="DL192" s="173" t="e">
        <f t="shared" si="93"/>
        <v>#REF!</v>
      </c>
    </row>
    <row r="193" spans="1:116">
      <c r="A193" s="168">
        <v>3339</v>
      </c>
      <c r="B193" s="2">
        <v>148441</v>
      </c>
      <c r="C193" s="2" t="s">
        <v>393</v>
      </c>
      <c r="D193" s="30"/>
      <c r="E193" s="226"/>
      <c r="F193" s="176">
        <v>0</v>
      </c>
      <c r="G193" s="176">
        <v>0</v>
      </c>
      <c r="H193" s="176">
        <v>0</v>
      </c>
      <c r="I193" s="176">
        <v>0</v>
      </c>
      <c r="J193" s="176">
        <v>0</v>
      </c>
      <c r="K193" s="176">
        <v>0</v>
      </c>
      <c r="L193" s="30">
        <f t="shared" si="73"/>
        <v>0</v>
      </c>
      <c r="M193" s="176">
        <f t="shared" si="74"/>
        <v>0</v>
      </c>
      <c r="N193" s="226"/>
      <c r="O193" s="176">
        <v>0</v>
      </c>
      <c r="P193" s="176">
        <v>0</v>
      </c>
      <c r="Q193" s="176">
        <v>0</v>
      </c>
      <c r="R193" s="176">
        <v>0</v>
      </c>
      <c r="S193" s="176">
        <v>0</v>
      </c>
      <c r="T193" s="176">
        <v>0</v>
      </c>
      <c r="U193" s="176">
        <f t="shared" si="75"/>
        <v>0</v>
      </c>
      <c r="V193" s="176">
        <f t="shared" si="76"/>
        <v>0</v>
      </c>
      <c r="W193" s="226"/>
      <c r="X193" s="247"/>
      <c r="Y193" s="176">
        <v>0</v>
      </c>
      <c r="Z193" s="176">
        <v>0</v>
      </c>
      <c r="AA193" s="176">
        <v>0</v>
      </c>
      <c r="AB193" s="176">
        <v>0</v>
      </c>
      <c r="AC193" s="176">
        <v>0</v>
      </c>
      <c r="AD193" s="176">
        <f t="shared" si="77"/>
        <v>0</v>
      </c>
      <c r="AE193" s="247">
        <f t="shared" si="78"/>
        <v>0</v>
      </c>
      <c r="AF193" s="226"/>
      <c r="AG193" s="247">
        <v>0</v>
      </c>
      <c r="AH193" s="247">
        <v>0</v>
      </c>
      <c r="AI193" s="247">
        <v>0</v>
      </c>
      <c r="AJ193" s="226"/>
      <c r="AK193" s="247">
        <f t="shared" si="79"/>
        <v>0</v>
      </c>
      <c r="AL193" s="247">
        <f t="shared" si="80"/>
        <v>0</v>
      </c>
      <c r="AM193" s="247">
        <f t="shared" si="81"/>
        <v>0</v>
      </c>
      <c r="AN193" s="225"/>
      <c r="AO193" s="225">
        <v>0</v>
      </c>
      <c r="AP193" s="225">
        <v>0</v>
      </c>
      <c r="AQ193" s="225">
        <v>0</v>
      </c>
      <c r="AR193" s="225">
        <v>0</v>
      </c>
      <c r="AS193" s="225">
        <v>0</v>
      </c>
      <c r="AT193" s="225">
        <v>0</v>
      </c>
      <c r="AU193" s="225">
        <v>0</v>
      </c>
      <c r="AV193" s="225">
        <f t="shared" si="82"/>
        <v>0</v>
      </c>
      <c r="AX193" s="225">
        <f t="shared" si="83"/>
        <v>0</v>
      </c>
      <c r="AY193" s="225">
        <f t="shared" si="84"/>
        <v>0</v>
      </c>
      <c r="AZ193" s="225">
        <f t="shared" si="85"/>
        <v>0</v>
      </c>
      <c r="BA193" s="225">
        <f t="shared" si="86"/>
        <v>0</v>
      </c>
      <c r="BB193" s="225">
        <f t="shared" si="87"/>
        <v>0</v>
      </c>
      <c r="BC193" s="225">
        <f t="shared" si="88"/>
        <v>0</v>
      </c>
      <c r="BD193" s="225">
        <f t="shared" si="89"/>
        <v>0</v>
      </c>
      <c r="BE193" s="225">
        <f t="shared" si="90"/>
        <v>0</v>
      </c>
      <c r="BF193" s="225">
        <f t="shared" si="91"/>
        <v>0</v>
      </c>
      <c r="BG193" s="225">
        <f t="shared" si="64"/>
        <v>0</v>
      </c>
      <c r="BH193" s="225">
        <f t="shared" si="65"/>
        <v>0</v>
      </c>
      <c r="BI193" s="225">
        <f t="shared" si="66"/>
        <v>0</v>
      </c>
      <c r="BJ193" s="225">
        <f t="shared" si="67"/>
        <v>0</v>
      </c>
      <c r="BK193" s="225">
        <f t="shared" si="68"/>
        <v>0</v>
      </c>
      <c r="BL193" s="225">
        <f t="shared" si="69"/>
        <v>0</v>
      </c>
      <c r="BM193" s="225">
        <f t="shared" si="70"/>
        <v>0</v>
      </c>
      <c r="BN193" s="225">
        <f t="shared" si="92"/>
        <v>0</v>
      </c>
      <c r="BO193" s="225">
        <f t="shared" si="71"/>
        <v>0</v>
      </c>
      <c r="BP193" s="225"/>
      <c r="BQ193" s="225"/>
      <c r="BR193" s="225"/>
      <c r="BS193" s="225"/>
      <c r="BT193" s="225"/>
      <c r="BU193" s="225"/>
      <c r="BV193" s="225"/>
      <c r="BW193" s="225"/>
      <c r="BY193" s="176"/>
      <c r="BZ193" s="176"/>
      <c r="CA193" s="176"/>
      <c r="CB193" s="176"/>
      <c r="CC193" s="176"/>
      <c r="CD193" s="176"/>
      <c r="CE193" s="176"/>
      <c r="CF193" s="176"/>
      <c r="CH193" s="248"/>
      <c r="CI193" s="248"/>
      <c r="CJ193" s="248"/>
      <c r="CK193" s="248"/>
      <c r="CL193" s="248"/>
      <c r="CM193" s="248"/>
      <c r="CN193" s="248"/>
      <c r="CO193" s="248"/>
      <c r="CQ193" s="248"/>
      <c r="CR193" s="248"/>
      <c r="CS193" s="248"/>
      <c r="CT193" s="248"/>
      <c r="CU193" s="248"/>
      <c r="CV193" s="248"/>
      <c r="CW193" s="248"/>
      <c r="CX193" s="248"/>
      <c r="CY193" s="248"/>
      <c r="DA193" s="248"/>
      <c r="DB193" s="248"/>
      <c r="DC193" s="248"/>
      <c r="DD193" s="248"/>
      <c r="DE193" s="248"/>
      <c r="DF193" s="248"/>
      <c r="DG193" s="248"/>
      <c r="DH193" s="248"/>
      <c r="DJ193" s="179" t="e">
        <f>#REF!+((SUMIFS($F193:$AM193,$F$3:$AM$3,$DJ$7)*80%))+SUMIFS(#REF!,#REF!,$DJ$7)</f>
        <v>#REF!</v>
      </c>
      <c r="DK193" s="179">
        <f t="shared" si="94"/>
        <v>0</v>
      </c>
      <c r="DL193" s="173" t="e">
        <f t="shared" si="93"/>
        <v>#REF!</v>
      </c>
    </row>
    <row r="194" spans="1:116">
      <c r="A194" s="168">
        <v>3401</v>
      </c>
      <c r="B194" s="2">
        <v>140528</v>
      </c>
      <c r="C194" s="2" t="s">
        <v>394</v>
      </c>
      <c r="D194" s="30"/>
      <c r="E194" s="226"/>
      <c r="F194" s="176">
        <v>0</v>
      </c>
      <c r="G194" s="176">
        <v>0</v>
      </c>
      <c r="H194" s="176">
        <v>0</v>
      </c>
      <c r="I194" s="176">
        <v>0</v>
      </c>
      <c r="J194" s="176">
        <v>0</v>
      </c>
      <c r="K194" s="176">
        <v>0</v>
      </c>
      <c r="L194" s="30">
        <f t="shared" si="73"/>
        <v>0</v>
      </c>
      <c r="M194" s="176">
        <f t="shared" si="74"/>
        <v>0</v>
      </c>
      <c r="N194" s="226"/>
      <c r="O194" s="176">
        <v>0</v>
      </c>
      <c r="P194" s="176">
        <v>0</v>
      </c>
      <c r="Q194" s="176">
        <v>0</v>
      </c>
      <c r="R194" s="176">
        <v>0</v>
      </c>
      <c r="S194" s="176">
        <v>0</v>
      </c>
      <c r="T194" s="176">
        <v>0</v>
      </c>
      <c r="U194" s="176">
        <f t="shared" si="75"/>
        <v>0</v>
      </c>
      <c r="V194" s="176">
        <f t="shared" si="76"/>
        <v>0</v>
      </c>
      <c r="W194" s="226"/>
      <c r="X194" s="247"/>
      <c r="Y194" s="176">
        <v>0</v>
      </c>
      <c r="Z194" s="176">
        <v>0</v>
      </c>
      <c r="AA194" s="176">
        <v>0</v>
      </c>
      <c r="AB194" s="176">
        <v>0</v>
      </c>
      <c r="AC194" s="176">
        <v>0</v>
      </c>
      <c r="AD194" s="176">
        <f t="shared" si="77"/>
        <v>0</v>
      </c>
      <c r="AE194" s="247">
        <f t="shared" si="78"/>
        <v>0</v>
      </c>
      <c r="AF194" s="226"/>
      <c r="AG194" s="247">
        <v>0</v>
      </c>
      <c r="AH194" s="247">
        <v>0</v>
      </c>
      <c r="AI194" s="247">
        <v>0</v>
      </c>
      <c r="AJ194" s="226"/>
      <c r="AK194" s="247">
        <f t="shared" si="79"/>
        <v>0</v>
      </c>
      <c r="AL194" s="247">
        <f t="shared" si="80"/>
        <v>0</v>
      </c>
      <c r="AM194" s="247">
        <f t="shared" si="81"/>
        <v>0</v>
      </c>
      <c r="AN194" s="225"/>
      <c r="AO194" s="225">
        <v>0</v>
      </c>
      <c r="AP194" s="225">
        <v>0</v>
      </c>
      <c r="AQ194" s="225">
        <v>0</v>
      </c>
      <c r="AR194" s="225">
        <v>0</v>
      </c>
      <c r="AS194" s="225">
        <v>0</v>
      </c>
      <c r="AT194" s="225">
        <v>0</v>
      </c>
      <c r="AU194" s="225">
        <v>0</v>
      </c>
      <c r="AV194" s="225">
        <f t="shared" si="82"/>
        <v>0</v>
      </c>
      <c r="AX194" s="225">
        <f t="shared" si="83"/>
        <v>0</v>
      </c>
      <c r="AY194" s="225">
        <f t="shared" si="84"/>
        <v>0</v>
      </c>
      <c r="AZ194" s="225">
        <f t="shared" si="85"/>
        <v>0</v>
      </c>
      <c r="BA194" s="225">
        <f t="shared" si="86"/>
        <v>0</v>
      </c>
      <c r="BB194" s="225">
        <f t="shared" si="87"/>
        <v>0</v>
      </c>
      <c r="BC194" s="225">
        <f t="shared" si="88"/>
        <v>0</v>
      </c>
      <c r="BD194" s="225">
        <f t="shared" si="89"/>
        <v>0</v>
      </c>
      <c r="BE194" s="225">
        <f t="shared" si="90"/>
        <v>0</v>
      </c>
      <c r="BF194" s="225">
        <f t="shared" si="91"/>
        <v>0</v>
      </c>
      <c r="BG194" s="225">
        <f t="shared" si="64"/>
        <v>0</v>
      </c>
      <c r="BH194" s="225">
        <f t="shared" si="65"/>
        <v>0</v>
      </c>
      <c r="BI194" s="225">
        <f t="shared" si="66"/>
        <v>0</v>
      </c>
      <c r="BJ194" s="225">
        <f t="shared" si="67"/>
        <v>0</v>
      </c>
      <c r="BK194" s="225">
        <f t="shared" si="68"/>
        <v>0</v>
      </c>
      <c r="BL194" s="225">
        <f t="shared" si="69"/>
        <v>0</v>
      </c>
      <c r="BM194" s="225">
        <f t="shared" si="70"/>
        <v>0</v>
      </c>
      <c r="BN194" s="225">
        <f t="shared" si="92"/>
        <v>0</v>
      </c>
      <c r="BO194" s="225">
        <f t="shared" si="71"/>
        <v>0</v>
      </c>
      <c r="BP194" s="225"/>
      <c r="BQ194" s="225"/>
      <c r="BR194" s="225"/>
      <c r="BS194" s="225"/>
      <c r="BT194" s="225"/>
      <c r="BU194" s="225"/>
      <c r="BV194" s="225"/>
      <c r="BW194" s="225"/>
      <c r="BY194" s="176"/>
      <c r="BZ194" s="176"/>
      <c r="CA194" s="176"/>
      <c r="CB194" s="176"/>
      <c r="CC194" s="176"/>
      <c r="CD194" s="176"/>
      <c r="CE194" s="176"/>
      <c r="CF194" s="176"/>
      <c r="CH194" s="248"/>
      <c r="CI194" s="248"/>
      <c r="CJ194" s="248"/>
      <c r="CK194" s="248"/>
      <c r="CL194" s="248"/>
      <c r="CM194" s="248"/>
      <c r="CN194" s="248"/>
      <c r="CO194" s="248"/>
      <c r="CQ194" s="248"/>
      <c r="CR194" s="248"/>
      <c r="CS194" s="248"/>
      <c r="CT194" s="248"/>
      <c r="CU194" s="248"/>
      <c r="CV194" s="248"/>
      <c r="CW194" s="248"/>
      <c r="CX194" s="248"/>
      <c r="CY194" s="248"/>
      <c r="DA194" s="248"/>
      <c r="DB194" s="248"/>
      <c r="DC194" s="248"/>
      <c r="DD194" s="248"/>
      <c r="DE194" s="248"/>
      <c r="DF194" s="248"/>
      <c r="DG194" s="248"/>
      <c r="DH194" s="248"/>
      <c r="DJ194" s="179" t="e">
        <f>#REF!+((SUMIFS($F194:$AM194,$F$3:$AM$3,$DJ$7)*80%))+SUMIFS(#REF!,#REF!,$DJ$7)</f>
        <v>#REF!</v>
      </c>
      <c r="DK194" s="179">
        <f t="shared" si="94"/>
        <v>0</v>
      </c>
      <c r="DL194" s="173" t="e">
        <f t="shared" si="93"/>
        <v>#REF!</v>
      </c>
    </row>
    <row r="195" spans="1:116">
      <c r="A195" s="168">
        <v>3383</v>
      </c>
      <c r="B195" s="2">
        <v>148973</v>
      </c>
      <c r="C195" s="2" t="s">
        <v>395</v>
      </c>
      <c r="D195" s="30"/>
      <c r="E195" s="226"/>
      <c r="F195" s="176">
        <v>0</v>
      </c>
      <c r="G195" s="176">
        <v>0</v>
      </c>
      <c r="H195" s="176">
        <v>0</v>
      </c>
      <c r="I195" s="176">
        <v>0</v>
      </c>
      <c r="J195" s="176">
        <v>0</v>
      </c>
      <c r="K195" s="176">
        <v>0</v>
      </c>
      <c r="L195" s="30">
        <f t="shared" si="73"/>
        <v>0</v>
      </c>
      <c r="M195" s="176">
        <f t="shared" si="74"/>
        <v>0</v>
      </c>
      <c r="N195" s="226"/>
      <c r="O195" s="176">
        <v>0</v>
      </c>
      <c r="P195" s="176">
        <v>0</v>
      </c>
      <c r="Q195" s="176">
        <v>0</v>
      </c>
      <c r="R195" s="176">
        <v>0</v>
      </c>
      <c r="S195" s="176">
        <v>0</v>
      </c>
      <c r="T195" s="176">
        <v>0</v>
      </c>
      <c r="U195" s="176">
        <f t="shared" si="75"/>
        <v>0</v>
      </c>
      <c r="V195" s="176">
        <f t="shared" si="76"/>
        <v>0</v>
      </c>
      <c r="W195" s="226"/>
      <c r="X195" s="247"/>
      <c r="Y195" s="176">
        <v>0</v>
      </c>
      <c r="Z195" s="176">
        <v>0</v>
      </c>
      <c r="AA195" s="176">
        <v>0</v>
      </c>
      <c r="AB195" s="176">
        <v>0</v>
      </c>
      <c r="AC195" s="176">
        <v>0</v>
      </c>
      <c r="AD195" s="176">
        <f t="shared" si="77"/>
        <v>0</v>
      </c>
      <c r="AE195" s="247">
        <f t="shared" si="78"/>
        <v>0</v>
      </c>
      <c r="AF195" s="226"/>
      <c r="AG195" s="247">
        <v>0</v>
      </c>
      <c r="AH195" s="247">
        <v>0</v>
      </c>
      <c r="AI195" s="247">
        <v>0</v>
      </c>
      <c r="AJ195" s="226"/>
      <c r="AK195" s="247">
        <f t="shared" si="79"/>
        <v>0</v>
      </c>
      <c r="AL195" s="247">
        <f t="shared" si="80"/>
        <v>0</v>
      </c>
      <c r="AM195" s="247">
        <f t="shared" si="81"/>
        <v>0</v>
      </c>
      <c r="AN195" s="225"/>
      <c r="AO195" s="225">
        <v>0</v>
      </c>
      <c r="AP195" s="225">
        <v>0</v>
      </c>
      <c r="AQ195" s="225">
        <v>0</v>
      </c>
      <c r="AR195" s="225">
        <v>0</v>
      </c>
      <c r="AS195" s="225">
        <v>0</v>
      </c>
      <c r="AT195" s="225">
        <v>0</v>
      </c>
      <c r="AU195" s="225">
        <v>0</v>
      </c>
      <c r="AV195" s="225">
        <f t="shared" si="82"/>
        <v>0</v>
      </c>
      <c r="AX195" s="225">
        <f t="shared" si="83"/>
        <v>0</v>
      </c>
      <c r="AY195" s="225">
        <f t="shared" si="84"/>
        <v>0</v>
      </c>
      <c r="AZ195" s="225">
        <f t="shared" si="85"/>
        <v>0</v>
      </c>
      <c r="BA195" s="225">
        <f t="shared" si="86"/>
        <v>0</v>
      </c>
      <c r="BB195" s="225">
        <f t="shared" si="87"/>
        <v>0</v>
      </c>
      <c r="BC195" s="225">
        <f t="shared" si="88"/>
        <v>0</v>
      </c>
      <c r="BD195" s="225">
        <f t="shared" si="89"/>
        <v>0</v>
      </c>
      <c r="BE195" s="225">
        <f t="shared" si="90"/>
        <v>0</v>
      </c>
      <c r="BF195" s="225">
        <f t="shared" si="91"/>
        <v>0</v>
      </c>
      <c r="BG195" s="225">
        <f t="shared" si="64"/>
        <v>0</v>
      </c>
      <c r="BH195" s="225">
        <f t="shared" si="65"/>
        <v>0</v>
      </c>
      <c r="BI195" s="225">
        <f t="shared" si="66"/>
        <v>0</v>
      </c>
      <c r="BJ195" s="225">
        <f t="shared" si="67"/>
        <v>0</v>
      </c>
      <c r="BK195" s="225">
        <f t="shared" si="68"/>
        <v>0</v>
      </c>
      <c r="BL195" s="225">
        <f t="shared" si="69"/>
        <v>0</v>
      </c>
      <c r="BM195" s="225">
        <f t="shared" si="70"/>
        <v>0</v>
      </c>
      <c r="BN195" s="225">
        <f t="shared" si="92"/>
        <v>0</v>
      </c>
      <c r="BO195" s="225">
        <f t="shared" si="71"/>
        <v>0</v>
      </c>
      <c r="BP195" s="225"/>
      <c r="BQ195" s="225"/>
      <c r="BR195" s="225"/>
      <c r="BS195" s="225"/>
      <c r="BT195" s="225"/>
      <c r="BU195" s="225"/>
      <c r="BV195" s="225"/>
      <c r="BW195" s="225"/>
      <c r="BY195" s="176"/>
      <c r="BZ195" s="176"/>
      <c r="CA195" s="176"/>
      <c r="CB195" s="176"/>
      <c r="CC195" s="176"/>
      <c r="CD195" s="176"/>
      <c r="CE195" s="176"/>
      <c r="CF195" s="176"/>
      <c r="CH195" s="248"/>
      <c r="CI195" s="248"/>
      <c r="CJ195" s="248"/>
      <c r="CK195" s="248"/>
      <c r="CL195" s="248"/>
      <c r="CM195" s="248"/>
      <c r="CN195" s="248"/>
      <c r="CO195" s="248"/>
      <c r="CQ195" s="248"/>
      <c r="CR195" s="248"/>
      <c r="CS195" s="248"/>
      <c r="CT195" s="248"/>
      <c r="CU195" s="248"/>
      <c r="CV195" s="248"/>
      <c r="CW195" s="248"/>
      <c r="CX195" s="248"/>
      <c r="CY195" s="248"/>
      <c r="DA195" s="248"/>
      <c r="DB195" s="248"/>
      <c r="DC195" s="248"/>
      <c r="DD195" s="248"/>
      <c r="DE195" s="248"/>
      <c r="DF195" s="248"/>
      <c r="DG195" s="248"/>
      <c r="DH195" s="248"/>
      <c r="DJ195" s="179" t="e">
        <f>#REF!+((SUMIFS($F195:$AM195,$F$3:$AM$3,$DJ$7)*80%))+SUMIFS(#REF!,#REF!,$DJ$7)</f>
        <v>#REF!</v>
      </c>
      <c r="DK195" s="179">
        <f t="shared" si="94"/>
        <v>0</v>
      </c>
      <c r="DL195" s="173" t="e">
        <f t="shared" si="93"/>
        <v>#REF!</v>
      </c>
    </row>
    <row r="196" spans="1:116">
      <c r="A196" s="168">
        <v>3015</v>
      </c>
      <c r="B196" s="2">
        <v>139041</v>
      </c>
      <c r="C196" s="2" t="s">
        <v>396</v>
      </c>
      <c r="D196" s="30"/>
      <c r="E196" s="226"/>
      <c r="F196" s="176">
        <v>0</v>
      </c>
      <c r="G196" s="176">
        <v>0</v>
      </c>
      <c r="H196" s="176">
        <v>30903.600000000002</v>
      </c>
      <c r="I196" s="176">
        <v>585</v>
      </c>
      <c r="J196" s="176">
        <v>74.578947368421055</v>
      </c>
      <c r="K196" s="176">
        <v>0</v>
      </c>
      <c r="L196" s="30">
        <f t="shared" si="73"/>
        <v>31563.178947368422</v>
      </c>
      <c r="M196" s="176">
        <f t="shared" si="74"/>
        <v>25250.543157894739</v>
      </c>
      <c r="N196" s="226"/>
      <c r="O196" s="176">
        <v>0</v>
      </c>
      <c r="P196" s="176">
        <v>0</v>
      </c>
      <c r="Q196" s="176">
        <v>33111</v>
      </c>
      <c r="R196" s="176">
        <v>0</v>
      </c>
      <c r="S196" s="176">
        <v>0</v>
      </c>
      <c r="T196" s="176">
        <v>0</v>
      </c>
      <c r="U196" s="176">
        <f t="shared" si="75"/>
        <v>33111</v>
      </c>
      <c r="V196" s="176">
        <f t="shared" si="76"/>
        <v>26488.800000000003</v>
      </c>
      <c r="W196" s="226"/>
      <c r="X196" s="247"/>
      <c r="Y196" s="176">
        <v>0</v>
      </c>
      <c r="Z196" s="176">
        <v>27668.463157894734</v>
      </c>
      <c r="AA196" s="176">
        <v>227.36842105263156</v>
      </c>
      <c r="AB196" s="176">
        <v>21.739612188365648</v>
      </c>
      <c r="AC196" s="176">
        <v>0</v>
      </c>
      <c r="AD196" s="176">
        <f t="shared" si="77"/>
        <v>27917.571191135728</v>
      </c>
      <c r="AE196" s="247">
        <f t="shared" si="78"/>
        <v>22334.056952908584</v>
      </c>
      <c r="AF196" s="226"/>
      <c r="AG196" s="247">
        <v>740.99999999999989</v>
      </c>
      <c r="AH196" s="247">
        <v>674.69999999999993</v>
      </c>
      <c r="AI196" s="247">
        <v>612.1894736842105</v>
      </c>
      <c r="AJ196" s="226"/>
      <c r="AK196" s="247">
        <f t="shared" si="79"/>
        <v>592.79999999999995</v>
      </c>
      <c r="AL196" s="247">
        <f t="shared" si="80"/>
        <v>539.76</v>
      </c>
      <c r="AM196" s="247">
        <f t="shared" si="81"/>
        <v>489.75157894736844</v>
      </c>
      <c r="AN196" s="225"/>
      <c r="AO196" s="225">
        <v>0</v>
      </c>
      <c r="AP196" s="225">
        <v>0</v>
      </c>
      <c r="AQ196" s="225">
        <v>27592.5</v>
      </c>
      <c r="AR196" s="225">
        <v>0</v>
      </c>
      <c r="AS196" s="225">
        <v>0</v>
      </c>
      <c r="AT196" s="225">
        <v>0</v>
      </c>
      <c r="AU196" s="225">
        <v>674.69999999999993</v>
      </c>
      <c r="AV196" s="225">
        <f t="shared" si="82"/>
        <v>28267.200000000001</v>
      </c>
      <c r="AX196" s="225">
        <f t="shared" si="83"/>
        <v>0</v>
      </c>
      <c r="AY196" s="225">
        <f t="shared" si="84"/>
        <v>0</v>
      </c>
      <c r="AZ196" s="225">
        <f t="shared" si="85"/>
        <v>-3311.1000000000022</v>
      </c>
      <c r="BA196" s="225">
        <f t="shared" si="86"/>
        <v>-585</v>
      </c>
      <c r="BB196" s="225">
        <f t="shared" si="87"/>
        <v>-74.578947368421055</v>
      </c>
      <c r="BC196" s="225">
        <f t="shared" si="88"/>
        <v>0</v>
      </c>
      <c r="BD196" s="225">
        <f t="shared" si="89"/>
        <v>-66.299999999999955</v>
      </c>
      <c r="BE196" s="225">
        <f t="shared" si="90"/>
        <v>-4036.9789473684232</v>
      </c>
      <c r="BF196" s="225">
        <f t="shared" si="91"/>
        <v>0</v>
      </c>
      <c r="BG196" s="225">
        <f t="shared" si="64"/>
        <v>0</v>
      </c>
      <c r="BH196" s="225">
        <f t="shared" si="65"/>
        <v>0</v>
      </c>
      <c r="BI196" s="225">
        <f t="shared" si="66"/>
        <v>2869.6199999999953</v>
      </c>
      <c r="BJ196" s="225">
        <f t="shared" si="67"/>
        <v>-468</v>
      </c>
      <c r="BK196" s="225">
        <f t="shared" si="68"/>
        <v>-59.663157894736848</v>
      </c>
      <c r="BL196" s="225">
        <f t="shared" si="69"/>
        <v>0</v>
      </c>
      <c r="BM196" s="225">
        <f t="shared" si="70"/>
        <v>81.899999999999977</v>
      </c>
      <c r="BN196" s="225">
        <f t="shared" si="92"/>
        <v>2423.8568421052587</v>
      </c>
      <c r="BO196" s="225">
        <f t="shared" si="71"/>
        <v>0</v>
      </c>
      <c r="BP196" s="225"/>
      <c r="BQ196" s="225"/>
      <c r="BR196" s="225"/>
      <c r="BS196" s="225"/>
      <c r="BT196" s="225"/>
      <c r="BU196" s="225"/>
      <c r="BV196" s="225"/>
      <c r="BW196" s="225"/>
      <c r="BY196" s="176"/>
      <c r="BZ196" s="176"/>
      <c r="CA196" s="176"/>
      <c r="CB196" s="176"/>
      <c r="CC196" s="176"/>
      <c r="CD196" s="176"/>
      <c r="CE196" s="176"/>
      <c r="CF196" s="176"/>
      <c r="CH196" s="248"/>
      <c r="CI196" s="248"/>
      <c r="CJ196" s="248"/>
      <c r="CK196" s="248"/>
      <c r="CL196" s="248"/>
      <c r="CM196" s="248"/>
      <c r="CN196" s="248"/>
      <c r="CO196" s="248"/>
      <c r="CQ196" s="248"/>
      <c r="CR196" s="248"/>
      <c r="CS196" s="248"/>
      <c r="CT196" s="248"/>
      <c r="CU196" s="248"/>
      <c r="CV196" s="248"/>
      <c r="CW196" s="248"/>
      <c r="CX196" s="248"/>
      <c r="CY196" s="248"/>
      <c r="DA196" s="248"/>
      <c r="DB196" s="248"/>
      <c r="DC196" s="248"/>
      <c r="DD196" s="248"/>
      <c r="DE196" s="248"/>
      <c r="DF196" s="248"/>
      <c r="DG196" s="248"/>
      <c r="DH196" s="248"/>
      <c r="DJ196" s="179" t="e">
        <f>#REF!+((SUMIFS($F196:$AM196,$F$3:$AM$3,$DJ$7)*80%))+SUMIFS(#REF!,#REF!,$DJ$7)</f>
        <v>#REF!</v>
      </c>
      <c r="DK196" s="179">
        <f t="shared" si="94"/>
        <v>0</v>
      </c>
      <c r="DL196" s="173" t="e">
        <f t="shared" si="93"/>
        <v>#REF!</v>
      </c>
    </row>
    <row r="197" spans="1:116">
      <c r="A197" s="168">
        <v>3311</v>
      </c>
      <c r="B197" s="2">
        <v>139174</v>
      </c>
      <c r="C197" s="2" t="s">
        <v>397</v>
      </c>
      <c r="D197" s="30"/>
      <c r="E197" s="226"/>
      <c r="F197" s="176">
        <v>0</v>
      </c>
      <c r="G197" s="176">
        <v>0</v>
      </c>
      <c r="H197" s="176">
        <v>37525.800000000003</v>
      </c>
      <c r="I197" s="176">
        <v>2535</v>
      </c>
      <c r="J197" s="176">
        <v>894.94736842105272</v>
      </c>
      <c r="K197" s="176">
        <v>320.89473684210526</v>
      </c>
      <c r="L197" s="30">
        <f t="shared" si="73"/>
        <v>41276.642105263163</v>
      </c>
      <c r="M197" s="176">
        <f t="shared" si="74"/>
        <v>33021.31368421053</v>
      </c>
      <c r="N197" s="226"/>
      <c r="O197" s="176">
        <v>0</v>
      </c>
      <c r="P197" s="176">
        <v>0</v>
      </c>
      <c r="Q197" s="176">
        <v>39733.200000000004</v>
      </c>
      <c r="R197" s="176">
        <v>1950</v>
      </c>
      <c r="S197" s="176">
        <v>745.78947368421052</v>
      </c>
      <c r="T197" s="176">
        <v>0</v>
      </c>
      <c r="U197" s="176">
        <f t="shared" si="75"/>
        <v>42428.989473684218</v>
      </c>
      <c r="V197" s="176">
        <f t="shared" si="76"/>
        <v>33943.191578947379</v>
      </c>
      <c r="W197" s="226"/>
      <c r="X197" s="247"/>
      <c r="Y197" s="176">
        <v>0</v>
      </c>
      <c r="Z197" s="176">
        <v>31207.452631578952</v>
      </c>
      <c r="AA197" s="176">
        <v>1762.1052631578946</v>
      </c>
      <c r="AB197" s="176">
        <v>652.18836565096944</v>
      </c>
      <c r="AC197" s="176">
        <v>93.54016620498615</v>
      </c>
      <c r="AD197" s="176">
        <f t="shared" si="77"/>
        <v>33715.2864265928</v>
      </c>
      <c r="AE197" s="247">
        <f t="shared" si="78"/>
        <v>26972.229141274242</v>
      </c>
      <c r="AF197" s="226"/>
      <c r="AG197" s="247">
        <v>1957.8</v>
      </c>
      <c r="AH197" s="247">
        <v>3028.3499999999995</v>
      </c>
      <c r="AI197" s="247">
        <v>1852.4842105263158</v>
      </c>
      <c r="AJ197" s="226"/>
      <c r="AK197" s="247">
        <f t="shared" si="79"/>
        <v>1566.24</v>
      </c>
      <c r="AL197" s="247">
        <f t="shared" si="80"/>
        <v>2422.6799999999998</v>
      </c>
      <c r="AM197" s="247">
        <f t="shared" si="81"/>
        <v>1481.9873684210527</v>
      </c>
      <c r="AN197" s="225"/>
      <c r="AO197" s="225">
        <v>0</v>
      </c>
      <c r="AP197" s="225">
        <v>0</v>
      </c>
      <c r="AQ197" s="225">
        <v>54743.519999999997</v>
      </c>
      <c r="AR197" s="225">
        <v>3510</v>
      </c>
      <c r="AS197" s="225">
        <v>1342.421052631579</v>
      </c>
      <c r="AT197" s="225">
        <v>0</v>
      </c>
      <c r="AU197" s="225">
        <v>4295.8500000000004</v>
      </c>
      <c r="AV197" s="225">
        <f t="shared" si="82"/>
        <v>63891.791052631575</v>
      </c>
      <c r="AX197" s="225">
        <f t="shared" si="83"/>
        <v>0</v>
      </c>
      <c r="AY197" s="225">
        <f t="shared" si="84"/>
        <v>0</v>
      </c>
      <c r="AZ197" s="225">
        <f t="shared" si="85"/>
        <v>17217.719999999994</v>
      </c>
      <c r="BA197" s="225">
        <f t="shared" si="86"/>
        <v>975</v>
      </c>
      <c r="BB197" s="225">
        <f t="shared" si="87"/>
        <v>447.47368421052624</v>
      </c>
      <c r="BC197" s="225">
        <f t="shared" si="88"/>
        <v>-320.89473684210526</v>
      </c>
      <c r="BD197" s="225">
        <f t="shared" si="89"/>
        <v>2338.0500000000002</v>
      </c>
      <c r="BE197" s="225">
        <f t="shared" si="90"/>
        <v>20657.348947368413</v>
      </c>
      <c r="BF197" s="225">
        <f t="shared" si="91"/>
        <v>0</v>
      </c>
      <c r="BG197" s="225">
        <f t="shared" si="64"/>
        <v>0</v>
      </c>
      <c r="BH197" s="225">
        <f t="shared" si="65"/>
        <v>0</v>
      </c>
      <c r="BI197" s="225">
        <f t="shared" si="66"/>
        <v>24722.879999999994</v>
      </c>
      <c r="BJ197" s="225">
        <f t="shared" si="67"/>
        <v>1482</v>
      </c>
      <c r="BK197" s="225">
        <f t="shared" si="68"/>
        <v>626.4631578947367</v>
      </c>
      <c r="BL197" s="225">
        <f t="shared" si="69"/>
        <v>-256.7157894736842</v>
      </c>
      <c r="BM197" s="225">
        <f t="shared" si="70"/>
        <v>2729.6100000000006</v>
      </c>
      <c r="BN197" s="225">
        <f t="shared" si="92"/>
        <v>29304.237368421047</v>
      </c>
      <c r="BO197" s="225">
        <f t="shared" si="71"/>
        <v>0</v>
      </c>
      <c r="BP197" s="225"/>
      <c r="BQ197" s="225"/>
      <c r="BR197" s="225"/>
      <c r="BS197" s="225"/>
      <c r="BT197" s="225"/>
      <c r="BU197" s="225"/>
      <c r="BV197" s="225"/>
      <c r="BW197" s="225"/>
      <c r="BY197" s="176"/>
      <c r="BZ197" s="176"/>
      <c r="CA197" s="176"/>
      <c r="CB197" s="176"/>
      <c r="CC197" s="176"/>
      <c r="CD197" s="176"/>
      <c r="CE197" s="176"/>
      <c r="CF197" s="176"/>
      <c r="CH197" s="248"/>
      <c r="CI197" s="248"/>
      <c r="CJ197" s="248"/>
      <c r="CK197" s="248"/>
      <c r="CL197" s="248"/>
      <c r="CM197" s="248"/>
      <c r="CN197" s="248"/>
      <c r="CO197" s="248"/>
      <c r="CQ197" s="248"/>
      <c r="CR197" s="248"/>
      <c r="CS197" s="248"/>
      <c r="CT197" s="248"/>
      <c r="CU197" s="248"/>
      <c r="CV197" s="248"/>
      <c r="CW197" s="248"/>
      <c r="CX197" s="248"/>
      <c r="CY197" s="248"/>
      <c r="DA197" s="248"/>
      <c r="DB197" s="248"/>
      <c r="DC197" s="248"/>
      <c r="DD197" s="248"/>
      <c r="DE197" s="248"/>
      <c r="DF197" s="248"/>
      <c r="DG197" s="248"/>
      <c r="DH197" s="248"/>
      <c r="DJ197" s="179" t="e">
        <f>#REF!+((SUMIFS($F197:$AM197,$F$3:$AM$3,$DJ$7)*80%))+SUMIFS(#REF!,#REF!,$DJ$7)</f>
        <v>#REF!</v>
      </c>
      <c r="DK197" s="179">
        <f t="shared" si="94"/>
        <v>331.54792243767315</v>
      </c>
      <c r="DL197" s="173" t="e">
        <f t="shared" si="93"/>
        <v>#REF!</v>
      </c>
    </row>
    <row r="198" spans="1:116">
      <c r="A198" s="168">
        <v>2061</v>
      </c>
      <c r="B198" s="2">
        <v>138433</v>
      </c>
      <c r="C198" s="2" t="s">
        <v>398</v>
      </c>
      <c r="D198" s="30"/>
      <c r="E198" s="226"/>
      <c r="F198" s="176">
        <v>0</v>
      </c>
      <c r="G198" s="176">
        <v>0</v>
      </c>
      <c r="H198" s="176">
        <v>0</v>
      </c>
      <c r="I198" s="176">
        <v>0</v>
      </c>
      <c r="J198" s="176">
        <v>0</v>
      </c>
      <c r="K198" s="176">
        <v>0</v>
      </c>
      <c r="L198" s="30">
        <f t="shared" si="73"/>
        <v>0</v>
      </c>
      <c r="M198" s="176">
        <f t="shared" si="74"/>
        <v>0</v>
      </c>
      <c r="N198" s="226"/>
      <c r="O198" s="176">
        <v>0</v>
      </c>
      <c r="P198" s="176">
        <v>0</v>
      </c>
      <c r="Q198" s="176">
        <v>0</v>
      </c>
      <c r="R198" s="176">
        <v>0</v>
      </c>
      <c r="S198" s="176">
        <v>0</v>
      </c>
      <c r="T198" s="176">
        <v>0</v>
      </c>
      <c r="U198" s="176">
        <f t="shared" si="75"/>
        <v>0</v>
      </c>
      <c r="V198" s="176">
        <f t="shared" si="76"/>
        <v>0</v>
      </c>
      <c r="W198" s="226"/>
      <c r="X198" s="247"/>
      <c r="Y198" s="176">
        <v>0</v>
      </c>
      <c r="Z198" s="176">
        <v>0</v>
      </c>
      <c r="AA198" s="176">
        <v>0</v>
      </c>
      <c r="AB198" s="176">
        <v>0</v>
      </c>
      <c r="AC198" s="176">
        <v>0</v>
      </c>
      <c r="AD198" s="176">
        <f t="shared" si="77"/>
        <v>0</v>
      </c>
      <c r="AE198" s="247">
        <f t="shared" si="78"/>
        <v>0</v>
      </c>
      <c r="AF198" s="226"/>
      <c r="AG198" s="247">
        <v>0</v>
      </c>
      <c r="AH198" s="247">
        <v>0</v>
      </c>
      <c r="AI198" s="247">
        <v>0</v>
      </c>
      <c r="AJ198" s="226"/>
      <c r="AK198" s="247">
        <f t="shared" si="79"/>
        <v>0</v>
      </c>
      <c r="AL198" s="247">
        <f t="shared" si="80"/>
        <v>0</v>
      </c>
      <c r="AM198" s="247">
        <f t="shared" si="81"/>
        <v>0</v>
      </c>
      <c r="AN198" s="225"/>
      <c r="AO198" s="225">
        <v>0</v>
      </c>
      <c r="AP198" s="225">
        <v>0</v>
      </c>
      <c r="AQ198" s="225">
        <v>0</v>
      </c>
      <c r="AR198" s="225">
        <v>0</v>
      </c>
      <c r="AS198" s="225">
        <v>0</v>
      </c>
      <c r="AT198" s="225">
        <v>0</v>
      </c>
      <c r="AU198" s="225">
        <v>0</v>
      </c>
      <c r="AV198" s="225">
        <f t="shared" si="82"/>
        <v>0</v>
      </c>
      <c r="AX198" s="225">
        <f t="shared" si="83"/>
        <v>0</v>
      </c>
      <c r="AY198" s="225">
        <f t="shared" si="84"/>
        <v>0</v>
      </c>
      <c r="AZ198" s="225">
        <f t="shared" si="85"/>
        <v>0</v>
      </c>
      <c r="BA198" s="225">
        <f t="shared" si="86"/>
        <v>0</v>
      </c>
      <c r="BB198" s="225">
        <f t="shared" si="87"/>
        <v>0</v>
      </c>
      <c r="BC198" s="225">
        <f t="shared" si="88"/>
        <v>0</v>
      </c>
      <c r="BD198" s="225">
        <f t="shared" si="89"/>
        <v>0</v>
      </c>
      <c r="BE198" s="225">
        <f t="shared" si="90"/>
        <v>0</v>
      </c>
      <c r="BF198" s="225">
        <f t="shared" si="91"/>
        <v>0</v>
      </c>
      <c r="BG198" s="225">
        <f t="shared" si="64"/>
        <v>0</v>
      </c>
      <c r="BH198" s="225">
        <f t="shared" si="65"/>
        <v>0</v>
      </c>
      <c r="BI198" s="225">
        <f t="shared" si="66"/>
        <v>0</v>
      </c>
      <c r="BJ198" s="225">
        <f t="shared" si="67"/>
        <v>0</v>
      </c>
      <c r="BK198" s="225">
        <f t="shared" si="68"/>
        <v>0</v>
      </c>
      <c r="BL198" s="225">
        <f t="shared" si="69"/>
        <v>0</v>
      </c>
      <c r="BM198" s="225">
        <f t="shared" si="70"/>
        <v>0</v>
      </c>
      <c r="BN198" s="225">
        <f t="shared" si="92"/>
        <v>0</v>
      </c>
      <c r="BO198" s="225">
        <f t="shared" si="71"/>
        <v>0</v>
      </c>
      <c r="BP198" s="225"/>
      <c r="BQ198" s="225"/>
      <c r="BR198" s="225"/>
      <c r="BS198" s="225"/>
      <c r="BT198" s="225"/>
      <c r="BU198" s="225"/>
      <c r="BV198" s="225"/>
      <c r="BW198" s="225"/>
      <c r="BY198" s="176"/>
      <c r="BZ198" s="176"/>
      <c r="CA198" s="176"/>
      <c r="CB198" s="176"/>
      <c r="CC198" s="176"/>
      <c r="CD198" s="176"/>
      <c r="CE198" s="176"/>
      <c r="CF198" s="176"/>
      <c r="CH198" s="248"/>
      <c r="CI198" s="248"/>
      <c r="CJ198" s="248"/>
      <c r="CK198" s="248"/>
      <c r="CL198" s="248"/>
      <c r="CM198" s="248"/>
      <c r="CN198" s="248"/>
      <c r="CO198" s="248"/>
      <c r="CQ198" s="248"/>
      <c r="CR198" s="248"/>
      <c r="CS198" s="248"/>
      <c r="CT198" s="248"/>
      <c r="CU198" s="248"/>
      <c r="CV198" s="248"/>
      <c r="CW198" s="248"/>
      <c r="CX198" s="248"/>
      <c r="CY198" s="248"/>
      <c r="DA198" s="248"/>
      <c r="DB198" s="248"/>
      <c r="DC198" s="248"/>
      <c r="DD198" s="248"/>
      <c r="DE198" s="248"/>
      <c r="DF198" s="248"/>
      <c r="DG198" s="248"/>
      <c r="DH198" s="248"/>
      <c r="DJ198" s="179" t="e">
        <f>#REF!+((SUMIFS($F198:$AM198,$F$3:$AM$3,$DJ$7)*80%))+SUMIFS(#REF!,#REF!,$DJ$7)</f>
        <v>#REF!</v>
      </c>
      <c r="DK198" s="179">
        <f t="shared" si="94"/>
        <v>0</v>
      </c>
      <c r="DL198" s="173" t="e">
        <f t="shared" si="93"/>
        <v>#REF!</v>
      </c>
    </row>
    <row r="199" spans="1:116">
      <c r="A199" s="168">
        <v>3403</v>
      </c>
      <c r="B199" s="2">
        <v>140529</v>
      </c>
      <c r="C199" s="2" t="s">
        <v>399</v>
      </c>
      <c r="D199" s="30"/>
      <c r="E199" s="226"/>
      <c r="F199" s="176">
        <v>0</v>
      </c>
      <c r="G199" s="176">
        <v>0</v>
      </c>
      <c r="H199" s="176">
        <v>0</v>
      </c>
      <c r="I199" s="176">
        <v>0</v>
      </c>
      <c r="J199" s="176">
        <v>0</v>
      </c>
      <c r="K199" s="176">
        <v>0</v>
      </c>
      <c r="L199" s="30">
        <f t="shared" si="73"/>
        <v>0</v>
      </c>
      <c r="M199" s="176">
        <f t="shared" si="74"/>
        <v>0</v>
      </c>
      <c r="N199" s="226"/>
      <c r="O199" s="176">
        <v>0</v>
      </c>
      <c r="P199" s="176">
        <v>0</v>
      </c>
      <c r="Q199" s="176">
        <v>0</v>
      </c>
      <c r="R199" s="176">
        <v>0</v>
      </c>
      <c r="S199" s="176">
        <v>0</v>
      </c>
      <c r="T199" s="176">
        <v>0</v>
      </c>
      <c r="U199" s="176">
        <f t="shared" si="75"/>
        <v>0</v>
      </c>
      <c r="V199" s="176">
        <f t="shared" si="76"/>
        <v>0</v>
      </c>
      <c r="W199" s="226"/>
      <c r="X199" s="247"/>
      <c r="Y199" s="176">
        <v>0</v>
      </c>
      <c r="Z199" s="176">
        <v>0</v>
      </c>
      <c r="AA199" s="176">
        <v>0</v>
      </c>
      <c r="AB199" s="176">
        <v>0</v>
      </c>
      <c r="AC199" s="176">
        <v>0</v>
      </c>
      <c r="AD199" s="176">
        <f t="shared" si="77"/>
        <v>0</v>
      </c>
      <c r="AE199" s="247">
        <f t="shared" si="78"/>
        <v>0</v>
      </c>
      <c r="AF199" s="226"/>
      <c r="AG199" s="247">
        <v>0</v>
      </c>
      <c r="AH199" s="247">
        <v>0</v>
      </c>
      <c r="AI199" s="247">
        <v>0</v>
      </c>
      <c r="AJ199" s="226"/>
      <c r="AK199" s="247">
        <f t="shared" si="79"/>
        <v>0</v>
      </c>
      <c r="AL199" s="247">
        <f t="shared" si="80"/>
        <v>0</v>
      </c>
      <c r="AM199" s="247">
        <f t="shared" si="81"/>
        <v>0</v>
      </c>
      <c r="AN199" s="225"/>
      <c r="AO199" s="225">
        <v>0</v>
      </c>
      <c r="AP199" s="225">
        <v>0</v>
      </c>
      <c r="AQ199" s="225">
        <v>0</v>
      </c>
      <c r="AR199" s="225">
        <v>0</v>
      </c>
      <c r="AS199" s="225">
        <v>0</v>
      </c>
      <c r="AT199" s="225">
        <v>0</v>
      </c>
      <c r="AU199" s="225">
        <v>0</v>
      </c>
      <c r="AV199" s="225">
        <f t="shared" si="82"/>
        <v>0</v>
      </c>
      <c r="AX199" s="225">
        <f t="shared" si="83"/>
        <v>0</v>
      </c>
      <c r="AY199" s="225">
        <f t="shared" si="84"/>
        <v>0</v>
      </c>
      <c r="AZ199" s="225">
        <f t="shared" si="85"/>
        <v>0</v>
      </c>
      <c r="BA199" s="225">
        <f t="shared" si="86"/>
        <v>0</v>
      </c>
      <c r="BB199" s="225">
        <f t="shared" si="87"/>
        <v>0</v>
      </c>
      <c r="BC199" s="225">
        <f t="shared" si="88"/>
        <v>0</v>
      </c>
      <c r="BD199" s="225">
        <f t="shared" si="89"/>
        <v>0</v>
      </c>
      <c r="BE199" s="225">
        <f t="shared" si="90"/>
        <v>0</v>
      </c>
      <c r="BF199" s="225">
        <f t="shared" si="91"/>
        <v>0</v>
      </c>
      <c r="BG199" s="225">
        <f t="shared" si="64"/>
        <v>0</v>
      </c>
      <c r="BH199" s="225">
        <f t="shared" si="65"/>
        <v>0</v>
      </c>
      <c r="BI199" s="225">
        <f t="shared" si="66"/>
        <v>0</v>
      </c>
      <c r="BJ199" s="225">
        <f t="shared" si="67"/>
        <v>0</v>
      </c>
      <c r="BK199" s="225">
        <f t="shared" si="68"/>
        <v>0</v>
      </c>
      <c r="BL199" s="225">
        <f t="shared" si="69"/>
        <v>0</v>
      </c>
      <c r="BM199" s="225">
        <f t="shared" si="70"/>
        <v>0</v>
      </c>
      <c r="BN199" s="225">
        <f t="shared" si="92"/>
        <v>0</v>
      </c>
      <c r="BO199" s="225">
        <f t="shared" si="71"/>
        <v>0</v>
      </c>
      <c r="BP199" s="225"/>
      <c r="BQ199" s="225"/>
      <c r="BR199" s="225"/>
      <c r="BS199" s="225"/>
      <c r="BT199" s="225"/>
      <c r="BU199" s="225"/>
      <c r="BV199" s="225"/>
      <c r="BW199" s="225"/>
      <c r="BY199" s="176"/>
      <c r="BZ199" s="176"/>
      <c r="CA199" s="176"/>
      <c r="CB199" s="176"/>
      <c r="CC199" s="176"/>
      <c r="CD199" s="176"/>
      <c r="CE199" s="176"/>
      <c r="CF199" s="176"/>
      <c r="CH199" s="248"/>
      <c r="CI199" s="248"/>
      <c r="CJ199" s="248"/>
      <c r="CK199" s="248"/>
      <c r="CL199" s="248"/>
      <c r="CM199" s="248"/>
      <c r="CN199" s="248"/>
      <c r="CO199" s="248"/>
      <c r="CQ199" s="248"/>
      <c r="CR199" s="248"/>
      <c r="CS199" s="248"/>
      <c r="CT199" s="248"/>
      <c r="CU199" s="248"/>
      <c r="CV199" s="248"/>
      <c r="CW199" s="248"/>
      <c r="CX199" s="248"/>
      <c r="CY199" s="248"/>
      <c r="DA199" s="248"/>
      <c r="DB199" s="248"/>
      <c r="DC199" s="248"/>
      <c r="DD199" s="248"/>
      <c r="DE199" s="248"/>
      <c r="DF199" s="248"/>
      <c r="DG199" s="248"/>
      <c r="DH199" s="248"/>
      <c r="DJ199" s="179" t="e">
        <f>#REF!+((SUMIFS($F199:$AM199,$F$3:$AM$3,$DJ$7)*80%))+SUMIFS(#REF!,#REF!,$DJ$7)</f>
        <v>#REF!</v>
      </c>
      <c r="DK199" s="179">
        <f t="shared" si="94"/>
        <v>0</v>
      </c>
      <c r="DL199" s="173" t="e">
        <f t="shared" si="93"/>
        <v>#REF!</v>
      </c>
    </row>
    <row r="200" spans="1:116">
      <c r="A200" s="168">
        <v>3366</v>
      </c>
      <c r="B200" s="2">
        <v>141830</v>
      </c>
      <c r="C200" s="2" t="s">
        <v>400</v>
      </c>
      <c r="D200" s="30"/>
      <c r="E200" s="226"/>
      <c r="F200" s="176">
        <v>0</v>
      </c>
      <c r="G200" s="176">
        <v>0</v>
      </c>
      <c r="H200" s="176">
        <v>9933.3000000000011</v>
      </c>
      <c r="I200" s="176">
        <v>975</v>
      </c>
      <c r="J200" s="176">
        <v>0</v>
      </c>
      <c r="K200" s="176">
        <v>0</v>
      </c>
      <c r="L200" s="30">
        <f t="shared" si="73"/>
        <v>10908.300000000001</v>
      </c>
      <c r="M200" s="176">
        <f t="shared" si="74"/>
        <v>8726.6400000000012</v>
      </c>
      <c r="N200" s="226"/>
      <c r="O200" s="176">
        <v>0</v>
      </c>
      <c r="P200" s="176">
        <v>0</v>
      </c>
      <c r="Q200" s="176">
        <v>6622.2</v>
      </c>
      <c r="R200" s="176">
        <v>585</v>
      </c>
      <c r="S200" s="176">
        <v>223.73684210526318</v>
      </c>
      <c r="T200" s="176">
        <v>0</v>
      </c>
      <c r="U200" s="176">
        <f t="shared" si="75"/>
        <v>7430.9368421052632</v>
      </c>
      <c r="V200" s="176">
        <f t="shared" si="76"/>
        <v>5944.7494736842109</v>
      </c>
      <c r="W200" s="226"/>
      <c r="X200" s="247"/>
      <c r="Y200" s="176">
        <v>0</v>
      </c>
      <c r="Z200" s="176">
        <v>7721.4315789473676</v>
      </c>
      <c r="AA200" s="176">
        <v>795.78947368421041</v>
      </c>
      <c r="AB200" s="176">
        <v>195.65650969529085</v>
      </c>
      <c r="AC200" s="176">
        <v>0</v>
      </c>
      <c r="AD200" s="176">
        <f t="shared" si="77"/>
        <v>8712.8775623268684</v>
      </c>
      <c r="AE200" s="247">
        <f t="shared" si="78"/>
        <v>6970.3020498614951</v>
      </c>
      <c r="AF200" s="226"/>
      <c r="AG200" s="247">
        <v>883.34999999999991</v>
      </c>
      <c r="AH200" s="247">
        <v>469.94999999999993</v>
      </c>
      <c r="AI200" s="247">
        <v>635.49473684210534</v>
      </c>
      <c r="AJ200" s="226"/>
      <c r="AK200" s="247">
        <f t="shared" si="79"/>
        <v>706.68</v>
      </c>
      <c r="AL200" s="247">
        <f t="shared" si="80"/>
        <v>375.96</v>
      </c>
      <c r="AM200" s="247">
        <f t="shared" si="81"/>
        <v>508.39578947368432</v>
      </c>
      <c r="AN200" s="225"/>
      <c r="AO200" s="225">
        <v>0</v>
      </c>
      <c r="AP200" s="225">
        <v>0</v>
      </c>
      <c r="AQ200" s="225">
        <v>11037</v>
      </c>
      <c r="AR200" s="225">
        <v>1170</v>
      </c>
      <c r="AS200" s="225">
        <v>447.47368421052636</v>
      </c>
      <c r="AT200" s="225">
        <v>0</v>
      </c>
      <c r="AU200" s="225">
        <v>604.5</v>
      </c>
      <c r="AV200" s="225">
        <f t="shared" si="82"/>
        <v>13258.973684210527</v>
      </c>
      <c r="AX200" s="225">
        <f t="shared" si="83"/>
        <v>0</v>
      </c>
      <c r="AY200" s="225">
        <f t="shared" si="84"/>
        <v>0</v>
      </c>
      <c r="AZ200" s="225">
        <f t="shared" si="85"/>
        <v>1103.6999999999989</v>
      </c>
      <c r="BA200" s="225">
        <f t="shared" si="86"/>
        <v>195</v>
      </c>
      <c r="BB200" s="225">
        <f t="shared" si="87"/>
        <v>447.47368421052636</v>
      </c>
      <c r="BC200" s="225">
        <f t="shared" si="88"/>
        <v>0</v>
      </c>
      <c r="BD200" s="225">
        <f t="shared" si="89"/>
        <v>-278.84999999999991</v>
      </c>
      <c r="BE200" s="225">
        <f t="shared" si="90"/>
        <v>1467.3236842105252</v>
      </c>
      <c r="BF200" s="225">
        <f t="shared" si="91"/>
        <v>0</v>
      </c>
      <c r="BG200" s="225">
        <f t="shared" ref="BG200:BG255" si="95">AO200-(F200*80%)</f>
        <v>0</v>
      </c>
      <c r="BH200" s="225">
        <f t="shared" ref="BH200:BH255" si="96">AP200-(G200*80%)</f>
        <v>0</v>
      </c>
      <c r="BI200" s="225">
        <f t="shared" ref="BI200:BI255" si="97">AQ200-(H200*80%)</f>
        <v>3090.3599999999988</v>
      </c>
      <c r="BJ200" s="225">
        <f t="shared" ref="BJ200:BJ255" si="98">AR200-(I200*80%)</f>
        <v>390</v>
      </c>
      <c r="BK200" s="225">
        <f t="shared" ref="BK200:BK255" si="99">AS200-(J200*80%)</f>
        <v>447.47368421052636</v>
      </c>
      <c r="BL200" s="225">
        <f t="shared" ref="BL200:BL255" si="100">AT200-(K200*80%)</f>
        <v>0</v>
      </c>
      <c r="BM200" s="225">
        <f t="shared" ref="BM200:BM255" si="101">AU200-(AG200*80%)</f>
        <v>-102.17999999999995</v>
      </c>
      <c r="BN200" s="225">
        <f t="shared" si="92"/>
        <v>3825.6536842105252</v>
      </c>
      <c r="BO200" s="225">
        <f t="shared" ref="BO200:BO255" si="102">(M200+AK200+BN200)-AV200</f>
        <v>0</v>
      </c>
      <c r="BP200" s="225"/>
      <c r="BQ200" s="225"/>
      <c r="BR200" s="225"/>
      <c r="BS200" s="225"/>
      <c r="BT200" s="225"/>
      <c r="BU200" s="225"/>
      <c r="BV200" s="225"/>
      <c r="BW200" s="225"/>
      <c r="BY200" s="176"/>
      <c r="BZ200" s="176"/>
      <c r="CA200" s="176"/>
      <c r="CB200" s="176"/>
      <c r="CC200" s="176"/>
      <c r="CD200" s="176"/>
      <c r="CE200" s="176"/>
      <c r="CF200" s="176"/>
      <c r="CH200" s="248"/>
      <c r="CI200" s="248"/>
      <c r="CJ200" s="248"/>
      <c r="CK200" s="248"/>
      <c r="CL200" s="248"/>
      <c r="CM200" s="248"/>
      <c r="CN200" s="248"/>
      <c r="CO200" s="248"/>
      <c r="CQ200" s="248"/>
      <c r="CR200" s="248"/>
      <c r="CS200" s="248"/>
      <c r="CT200" s="248"/>
      <c r="CU200" s="248"/>
      <c r="CV200" s="248"/>
      <c r="CW200" s="248"/>
      <c r="CX200" s="248"/>
      <c r="CY200" s="248"/>
      <c r="DA200" s="248"/>
      <c r="DB200" s="248"/>
      <c r="DC200" s="248"/>
      <c r="DD200" s="248"/>
      <c r="DE200" s="248"/>
      <c r="DF200" s="248"/>
      <c r="DG200" s="248"/>
      <c r="DH200" s="248"/>
      <c r="DJ200" s="179" t="e">
        <f>#REF!+((SUMIFS($F200:$AM200,$F$3:$AM$3,$DJ$7)*80%))+SUMIFS(#REF!,#REF!,$DJ$7)</f>
        <v>#REF!</v>
      </c>
      <c r="DK200" s="179">
        <f t="shared" ref="DK200:DK207" si="103">(SUMIFS($F200:$AM200,$F$3:$AM$3,$DK$7)*80%)</f>
        <v>0</v>
      </c>
      <c r="DL200" s="173" t="e">
        <f t="shared" si="93"/>
        <v>#REF!</v>
      </c>
    </row>
    <row r="201" spans="1:116">
      <c r="A201" s="168">
        <v>3385</v>
      </c>
      <c r="B201" s="2">
        <v>150849</v>
      </c>
      <c r="C201" s="2" t="s">
        <v>152</v>
      </c>
      <c r="D201" s="30"/>
      <c r="E201" s="226"/>
      <c r="F201" s="176">
        <v>0</v>
      </c>
      <c r="G201" s="176">
        <v>0</v>
      </c>
      <c r="H201" s="176">
        <v>0</v>
      </c>
      <c r="I201" s="176">
        <v>0</v>
      </c>
      <c r="J201" s="176">
        <v>0</v>
      </c>
      <c r="K201" s="176">
        <v>0</v>
      </c>
      <c r="L201" s="30">
        <f t="shared" ref="L201:L207" si="104">SUM(F201:K201)</f>
        <v>0</v>
      </c>
      <c r="M201" s="176">
        <f t="shared" ref="M201:M207" si="105">L201*80%</f>
        <v>0</v>
      </c>
      <c r="N201" s="226"/>
      <c r="O201" s="176">
        <v>0</v>
      </c>
      <c r="P201" s="176">
        <v>0</v>
      </c>
      <c r="Q201" s="176">
        <v>0</v>
      </c>
      <c r="R201" s="176">
        <v>0</v>
      </c>
      <c r="S201" s="176">
        <v>0</v>
      </c>
      <c r="T201" s="176">
        <v>0</v>
      </c>
      <c r="U201" s="176">
        <f t="shared" ref="U201:U207" si="106">SUM(O201:T201)</f>
        <v>0</v>
      </c>
      <c r="V201" s="176">
        <f t="shared" ref="V201:V207" si="107">U201*80%</f>
        <v>0</v>
      </c>
      <c r="W201" s="226"/>
      <c r="X201" s="247"/>
      <c r="Y201" s="176">
        <v>0</v>
      </c>
      <c r="Z201" s="176">
        <v>0</v>
      </c>
      <c r="AA201" s="176">
        <v>0</v>
      </c>
      <c r="AB201" s="176">
        <v>0</v>
      </c>
      <c r="AC201" s="176">
        <v>0</v>
      </c>
      <c r="AD201" s="176">
        <f t="shared" ref="AD201:AD207" si="108">SUM(X201:AC201)</f>
        <v>0</v>
      </c>
      <c r="AE201" s="247">
        <f t="shared" ref="AE201:AE207" si="109">AD201*80%</f>
        <v>0</v>
      </c>
      <c r="AF201" s="226"/>
      <c r="AG201" s="247">
        <v>0</v>
      </c>
      <c r="AH201" s="247">
        <v>0</v>
      </c>
      <c r="AI201" s="247">
        <v>0</v>
      </c>
      <c r="AJ201" s="226"/>
      <c r="AK201" s="247">
        <f t="shared" ref="AK201:AM255" si="110">AG201*80%</f>
        <v>0</v>
      </c>
      <c r="AL201" s="247">
        <f t="shared" ref="AL201:AL254" si="111">AH201*80%</f>
        <v>0</v>
      </c>
      <c r="AM201" s="247">
        <f t="shared" ref="AM201:AM254" si="112">AI201*80%</f>
        <v>0</v>
      </c>
      <c r="AN201" s="225"/>
      <c r="AO201" s="225">
        <v>0</v>
      </c>
      <c r="AP201" s="225">
        <v>0</v>
      </c>
      <c r="AQ201" s="225">
        <v>0</v>
      </c>
      <c r="AR201" s="225">
        <v>0</v>
      </c>
      <c r="AS201" s="225">
        <v>0</v>
      </c>
      <c r="AT201" s="225">
        <v>0</v>
      </c>
      <c r="AU201" s="225">
        <v>0</v>
      </c>
      <c r="AV201" s="225">
        <f t="shared" ref="AV201:AV253" si="113">SUM(AO201:AU201)</f>
        <v>0</v>
      </c>
      <c r="AX201" s="225">
        <f t="shared" ref="AX201:AX255" si="114">AO201-F201</f>
        <v>0</v>
      </c>
      <c r="AY201" s="225">
        <f t="shared" ref="AY201:AY255" si="115">AP201-G201</f>
        <v>0</v>
      </c>
      <c r="AZ201" s="225">
        <f t="shared" ref="AZ201:AZ255" si="116">AQ201-H201</f>
        <v>0</v>
      </c>
      <c r="BA201" s="225">
        <f t="shared" ref="BA201:BA255" si="117">AR201-I201</f>
        <v>0</v>
      </c>
      <c r="BB201" s="225">
        <f t="shared" ref="BB201:BB255" si="118">AS201-J201</f>
        <v>0</v>
      </c>
      <c r="BC201" s="225">
        <f t="shared" ref="BC201:BC255" si="119">AT201-K201</f>
        <v>0</v>
      </c>
      <c r="BD201" s="225">
        <f t="shared" ref="BD201:BD255" si="120">AU201-AG201</f>
        <v>0</v>
      </c>
      <c r="BE201" s="225">
        <f t="shared" ref="BE201:BE255" si="121">SUM(AX201:BD201)</f>
        <v>0</v>
      </c>
      <c r="BF201" s="225">
        <f t="shared" ref="BF201:BF255" si="122">(L201+AG201+BE201)-AV201</f>
        <v>0</v>
      </c>
      <c r="BG201" s="225">
        <f t="shared" si="95"/>
        <v>0</v>
      </c>
      <c r="BH201" s="225">
        <f t="shared" si="96"/>
        <v>0</v>
      </c>
      <c r="BI201" s="225">
        <f t="shared" si="97"/>
        <v>0</v>
      </c>
      <c r="BJ201" s="225">
        <f t="shared" si="98"/>
        <v>0</v>
      </c>
      <c r="BK201" s="225">
        <f t="shared" si="99"/>
        <v>0</v>
      </c>
      <c r="BL201" s="225">
        <f t="shared" si="100"/>
        <v>0</v>
      </c>
      <c r="BM201" s="225">
        <f t="shared" si="101"/>
        <v>0</v>
      </c>
      <c r="BN201" s="225">
        <f t="shared" ref="BN201:BN253" si="123">SUM(BG201:BM201)</f>
        <v>0</v>
      </c>
      <c r="BO201" s="225">
        <f t="shared" si="102"/>
        <v>0</v>
      </c>
      <c r="BP201" s="225"/>
      <c r="BQ201" s="225"/>
      <c r="BR201" s="225"/>
      <c r="BS201" s="225"/>
      <c r="BT201" s="225"/>
      <c r="BU201" s="225"/>
      <c r="BV201" s="225"/>
      <c r="BW201" s="225"/>
      <c r="BY201" s="176"/>
      <c r="BZ201" s="176"/>
      <c r="CA201" s="176"/>
      <c r="CB201" s="176"/>
      <c r="CC201" s="176"/>
      <c r="CD201" s="176"/>
      <c r="CE201" s="176"/>
      <c r="CF201" s="176"/>
      <c r="CH201" s="248"/>
      <c r="CI201" s="248"/>
      <c r="CJ201" s="248"/>
      <c r="CK201" s="248"/>
      <c r="CL201" s="248"/>
      <c r="CM201" s="248"/>
      <c r="CN201" s="248"/>
      <c r="CO201" s="248"/>
      <c r="CQ201" s="248"/>
      <c r="CR201" s="248"/>
      <c r="CS201" s="248"/>
      <c r="CT201" s="248"/>
      <c r="CU201" s="248"/>
      <c r="CV201" s="248"/>
      <c r="CW201" s="248"/>
      <c r="CX201" s="248"/>
      <c r="CY201" s="248"/>
      <c r="DA201" s="248"/>
      <c r="DB201" s="248"/>
      <c r="DC201" s="248"/>
      <c r="DD201" s="248"/>
      <c r="DE201" s="248"/>
      <c r="DF201" s="248"/>
      <c r="DG201" s="248"/>
      <c r="DH201" s="248"/>
      <c r="DJ201" s="179" t="e">
        <f>#REF!+((SUMIFS($F201:$AM201,$F$3:$AM$3,$DJ$7)*80%))+SUMIFS(#REF!,#REF!,$DJ$7)</f>
        <v>#REF!</v>
      </c>
      <c r="DK201" s="179">
        <f t="shared" si="103"/>
        <v>0</v>
      </c>
      <c r="DL201" s="173" t="e">
        <f t="shared" ref="DL201:DL207" si="124">DJ201+DK201</f>
        <v>#REF!</v>
      </c>
    </row>
    <row r="202" spans="1:116">
      <c r="A202" s="168">
        <v>4616</v>
      </c>
      <c r="B202" s="2">
        <v>141835</v>
      </c>
      <c r="C202" s="2" t="s">
        <v>401</v>
      </c>
      <c r="D202" s="30"/>
      <c r="E202" s="226"/>
      <c r="F202" s="176">
        <v>0</v>
      </c>
      <c r="G202" s="176">
        <v>0</v>
      </c>
      <c r="H202" s="176">
        <v>0</v>
      </c>
      <c r="I202" s="176">
        <v>0</v>
      </c>
      <c r="J202" s="176">
        <v>0</v>
      </c>
      <c r="K202" s="176">
        <v>0</v>
      </c>
      <c r="L202" s="30">
        <f t="shared" si="104"/>
        <v>0</v>
      </c>
      <c r="M202" s="176">
        <f t="shared" si="105"/>
        <v>0</v>
      </c>
      <c r="N202" s="226"/>
      <c r="O202" s="176">
        <v>0</v>
      </c>
      <c r="P202" s="176">
        <v>0</v>
      </c>
      <c r="Q202" s="176">
        <v>0</v>
      </c>
      <c r="R202" s="176">
        <v>0</v>
      </c>
      <c r="S202" s="176">
        <v>0</v>
      </c>
      <c r="T202" s="176">
        <v>0</v>
      </c>
      <c r="U202" s="176">
        <f t="shared" si="106"/>
        <v>0</v>
      </c>
      <c r="V202" s="176">
        <f t="shared" si="107"/>
        <v>0</v>
      </c>
      <c r="W202" s="226"/>
      <c r="X202" s="247"/>
      <c r="Y202" s="176">
        <v>0</v>
      </c>
      <c r="Z202" s="176">
        <v>0</v>
      </c>
      <c r="AA202" s="176">
        <v>0</v>
      </c>
      <c r="AB202" s="176">
        <v>0</v>
      </c>
      <c r="AC202" s="176">
        <v>0</v>
      </c>
      <c r="AD202" s="176">
        <f t="shared" si="108"/>
        <v>0</v>
      </c>
      <c r="AE202" s="247">
        <f t="shared" si="109"/>
        <v>0</v>
      </c>
      <c r="AF202" s="226"/>
      <c r="AG202" s="247">
        <v>0</v>
      </c>
      <c r="AH202" s="247">
        <v>0</v>
      </c>
      <c r="AI202" s="247">
        <v>0</v>
      </c>
      <c r="AJ202" s="226"/>
      <c r="AK202" s="247">
        <f t="shared" si="110"/>
        <v>0</v>
      </c>
      <c r="AL202" s="247">
        <f t="shared" si="111"/>
        <v>0</v>
      </c>
      <c r="AM202" s="247">
        <f t="shared" si="112"/>
        <v>0</v>
      </c>
      <c r="AN202" s="225"/>
      <c r="AO202" s="225">
        <v>0</v>
      </c>
      <c r="AP202" s="225">
        <v>0</v>
      </c>
      <c r="AQ202" s="225">
        <v>0</v>
      </c>
      <c r="AR202" s="225">
        <v>0</v>
      </c>
      <c r="AS202" s="225">
        <v>0</v>
      </c>
      <c r="AT202" s="225">
        <v>0</v>
      </c>
      <c r="AU202" s="225">
        <v>0</v>
      </c>
      <c r="AV202" s="225">
        <f t="shared" si="113"/>
        <v>0</v>
      </c>
      <c r="AX202" s="225">
        <f t="shared" si="114"/>
        <v>0</v>
      </c>
      <c r="AY202" s="225">
        <f t="shared" si="115"/>
        <v>0</v>
      </c>
      <c r="AZ202" s="225">
        <f t="shared" si="116"/>
        <v>0</v>
      </c>
      <c r="BA202" s="225">
        <f t="shared" si="117"/>
        <v>0</v>
      </c>
      <c r="BB202" s="225">
        <f t="shared" si="118"/>
        <v>0</v>
      </c>
      <c r="BC202" s="225">
        <f t="shared" si="119"/>
        <v>0</v>
      </c>
      <c r="BD202" s="225">
        <f t="shared" si="120"/>
        <v>0</v>
      </c>
      <c r="BE202" s="225">
        <f t="shared" si="121"/>
        <v>0</v>
      </c>
      <c r="BF202" s="225">
        <f t="shared" si="122"/>
        <v>0</v>
      </c>
      <c r="BG202" s="225">
        <f t="shared" si="95"/>
        <v>0</v>
      </c>
      <c r="BH202" s="225">
        <f t="shared" si="96"/>
        <v>0</v>
      </c>
      <c r="BI202" s="225">
        <f t="shared" si="97"/>
        <v>0</v>
      </c>
      <c r="BJ202" s="225">
        <f t="shared" si="98"/>
        <v>0</v>
      </c>
      <c r="BK202" s="225">
        <f t="shared" si="99"/>
        <v>0</v>
      </c>
      <c r="BL202" s="225">
        <f t="shared" si="100"/>
        <v>0</v>
      </c>
      <c r="BM202" s="225">
        <f t="shared" si="101"/>
        <v>0</v>
      </c>
      <c r="BN202" s="225">
        <f t="shared" si="123"/>
        <v>0</v>
      </c>
      <c r="BO202" s="225">
        <f t="shared" si="102"/>
        <v>0</v>
      </c>
      <c r="BP202" s="225"/>
      <c r="BQ202" s="225"/>
      <c r="BR202" s="225"/>
      <c r="BS202" s="225"/>
      <c r="BT202" s="225"/>
      <c r="BU202" s="225"/>
      <c r="BV202" s="225"/>
      <c r="BW202" s="225"/>
      <c r="BY202" s="176"/>
      <c r="BZ202" s="176"/>
      <c r="CA202" s="176"/>
      <c r="CB202" s="176"/>
      <c r="CC202" s="176"/>
      <c r="CD202" s="176"/>
      <c r="CE202" s="176"/>
      <c r="CF202" s="176"/>
      <c r="CH202" s="248"/>
      <c r="CI202" s="248"/>
      <c r="CJ202" s="248"/>
      <c r="CK202" s="248"/>
      <c r="CL202" s="248"/>
      <c r="CM202" s="248"/>
      <c r="CN202" s="248"/>
      <c r="CO202" s="248"/>
      <c r="CQ202" s="248"/>
      <c r="CR202" s="248"/>
      <c r="CS202" s="248"/>
      <c r="CT202" s="248"/>
      <c r="CU202" s="248"/>
      <c r="CV202" s="248"/>
      <c r="CW202" s="248"/>
      <c r="CX202" s="248"/>
      <c r="CY202" s="248"/>
      <c r="DA202" s="248"/>
      <c r="DB202" s="248"/>
      <c r="DC202" s="248"/>
      <c r="DD202" s="248"/>
      <c r="DE202" s="248"/>
      <c r="DF202" s="248"/>
      <c r="DG202" s="248"/>
      <c r="DH202" s="248"/>
      <c r="DJ202" s="179" t="e">
        <f>#REF!+((SUMIFS($F202:$AM202,$F$3:$AM$3,$DJ$7)*80%))+SUMIFS(#REF!,#REF!,$DJ$7)</f>
        <v>#REF!</v>
      </c>
      <c r="DK202" s="179">
        <f t="shared" si="103"/>
        <v>0</v>
      </c>
      <c r="DL202" s="173" t="e">
        <f t="shared" si="124"/>
        <v>#REF!</v>
      </c>
    </row>
    <row r="203" spans="1:116">
      <c r="A203" s="168">
        <v>3314</v>
      </c>
      <c r="B203" s="2">
        <v>142375</v>
      </c>
      <c r="C203" s="2" t="s">
        <v>402</v>
      </c>
      <c r="D203" s="30"/>
      <c r="E203" s="226"/>
      <c r="F203" s="176">
        <v>0</v>
      </c>
      <c r="G203" s="176">
        <v>0</v>
      </c>
      <c r="H203" s="176">
        <v>30903.600000000002</v>
      </c>
      <c r="I203" s="176">
        <v>0</v>
      </c>
      <c r="J203" s="176">
        <v>0</v>
      </c>
      <c r="K203" s="176">
        <v>0</v>
      </c>
      <c r="L203" s="30">
        <f t="shared" si="104"/>
        <v>30903.600000000002</v>
      </c>
      <c r="M203" s="176">
        <f t="shared" si="105"/>
        <v>24722.880000000005</v>
      </c>
      <c r="N203" s="226"/>
      <c r="O203" s="176">
        <v>0</v>
      </c>
      <c r="P203" s="176">
        <v>0</v>
      </c>
      <c r="Q203" s="176">
        <v>32007.3</v>
      </c>
      <c r="R203" s="176">
        <v>1170</v>
      </c>
      <c r="S203" s="176">
        <v>447.47368421052636</v>
      </c>
      <c r="T203" s="176">
        <v>0</v>
      </c>
      <c r="U203" s="176">
        <f t="shared" si="106"/>
        <v>33624.77368421053</v>
      </c>
      <c r="V203" s="176">
        <f t="shared" si="107"/>
        <v>26899.818947368425</v>
      </c>
      <c r="W203" s="226"/>
      <c r="X203" s="247"/>
      <c r="Y203" s="176">
        <v>0</v>
      </c>
      <c r="Z203" s="176">
        <v>27346.736842105267</v>
      </c>
      <c r="AA203" s="176">
        <v>795.78947368421041</v>
      </c>
      <c r="AB203" s="176">
        <v>304.35457063711908</v>
      </c>
      <c r="AC203" s="176">
        <v>0</v>
      </c>
      <c r="AD203" s="176">
        <f t="shared" si="108"/>
        <v>28446.880886426596</v>
      </c>
      <c r="AE203" s="247">
        <f t="shared" si="109"/>
        <v>22757.504709141278</v>
      </c>
      <c r="AF203" s="226"/>
      <c r="AG203" s="247">
        <v>1793.9999999999998</v>
      </c>
      <c r="AH203" s="247">
        <v>1649.7</v>
      </c>
      <c r="AI203" s="247">
        <v>1522.2315789473685</v>
      </c>
      <c r="AJ203" s="226"/>
      <c r="AK203" s="247">
        <f t="shared" si="110"/>
        <v>1435.1999999999998</v>
      </c>
      <c r="AL203" s="247">
        <f t="shared" si="111"/>
        <v>1319.7600000000002</v>
      </c>
      <c r="AM203" s="247">
        <f t="shared" si="112"/>
        <v>1217.7852631578949</v>
      </c>
      <c r="AN203" s="225"/>
      <c r="AO203" s="225">
        <v>0</v>
      </c>
      <c r="AP203" s="225">
        <v>0</v>
      </c>
      <c r="AQ203" s="225">
        <v>32007.3</v>
      </c>
      <c r="AR203" s="225">
        <v>1560</v>
      </c>
      <c r="AS203" s="225">
        <v>596.63157894736844</v>
      </c>
      <c r="AT203" s="225">
        <v>0</v>
      </c>
      <c r="AU203" s="225">
        <v>1649.7</v>
      </c>
      <c r="AV203" s="225">
        <f t="shared" si="113"/>
        <v>35813.631578947367</v>
      </c>
      <c r="AX203" s="225">
        <f t="shared" si="114"/>
        <v>0</v>
      </c>
      <c r="AY203" s="225">
        <f t="shared" si="115"/>
        <v>0</v>
      </c>
      <c r="AZ203" s="225">
        <f t="shared" si="116"/>
        <v>1103.6999999999971</v>
      </c>
      <c r="BA203" s="225">
        <f t="shared" si="117"/>
        <v>1560</v>
      </c>
      <c r="BB203" s="225">
        <f t="shared" si="118"/>
        <v>596.63157894736844</v>
      </c>
      <c r="BC203" s="225">
        <f t="shared" si="119"/>
        <v>0</v>
      </c>
      <c r="BD203" s="225">
        <f t="shared" si="120"/>
        <v>-144.29999999999973</v>
      </c>
      <c r="BE203" s="225">
        <f t="shared" si="121"/>
        <v>3116.0315789473657</v>
      </c>
      <c r="BF203" s="225">
        <f t="shared" si="122"/>
        <v>0</v>
      </c>
      <c r="BG203" s="225">
        <f t="shared" si="95"/>
        <v>0</v>
      </c>
      <c r="BH203" s="225">
        <f t="shared" si="96"/>
        <v>0</v>
      </c>
      <c r="BI203" s="225">
        <f t="shared" si="97"/>
        <v>7284.4199999999946</v>
      </c>
      <c r="BJ203" s="225">
        <f t="shared" si="98"/>
        <v>1560</v>
      </c>
      <c r="BK203" s="225">
        <f t="shared" si="99"/>
        <v>596.63157894736844</v>
      </c>
      <c r="BL203" s="225">
        <f t="shared" si="100"/>
        <v>0</v>
      </c>
      <c r="BM203" s="225">
        <f t="shared" si="101"/>
        <v>214.50000000000023</v>
      </c>
      <c r="BN203" s="225">
        <f t="shared" si="123"/>
        <v>9655.5515789473629</v>
      </c>
      <c r="BO203" s="225">
        <f t="shared" si="102"/>
        <v>0</v>
      </c>
      <c r="BP203" s="225"/>
      <c r="BQ203" s="225"/>
      <c r="BR203" s="225"/>
      <c r="BS203" s="225"/>
      <c r="BT203" s="225"/>
      <c r="BU203" s="225"/>
      <c r="BV203" s="225"/>
      <c r="BW203" s="225"/>
      <c r="BY203" s="176"/>
      <c r="BZ203" s="176"/>
      <c r="CA203" s="176"/>
      <c r="CB203" s="176"/>
      <c r="CC203" s="176"/>
      <c r="CD203" s="176"/>
      <c r="CE203" s="176"/>
      <c r="CF203" s="176"/>
      <c r="CH203" s="248"/>
      <c r="CI203" s="248"/>
      <c r="CJ203" s="248"/>
      <c r="CK203" s="248"/>
      <c r="CL203" s="248"/>
      <c r="CM203" s="248"/>
      <c r="CN203" s="248"/>
      <c r="CO203" s="248"/>
      <c r="CQ203" s="248"/>
      <c r="CR203" s="248"/>
      <c r="CS203" s="248"/>
      <c r="CT203" s="248"/>
      <c r="CU203" s="248"/>
      <c r="CV203" s="248"/>
      <c r="CW203" s="248"/>
      <c r="CX203" s="248"/>
      <c r="CY203" s="248"/>
      <c r="DA203" s="248"/>
      <c r="DB203" s="248"/>
      <c r="DC203" s="248"/>
      <c r="DD203" s="248"/>
      <c r="DE203" s="248"/>
      <c r="DF203" s="248"/>
      <c r="DG203" s="248"/>
      <c r="DH203" s="248"/>
      <c r="DJ203" s="179" t="e">
        <f>#REF!+((SUMIFS($F203:$AM203,$F$3:$AM$3,$DJ$7)*80%))+SUMIFS(#REF!,#REF!,$DJ$7)</f>
        <v>#REF!</v>
      </c>
      <c r="DK203" s="179">
        <f t="shared" si="103"/>
        <v>0</v>
      </c>
      <c r="DL203" s="173" t="e">
        <f t="shared" si="124"/>
        <v>#REF!</v>
      </c>
    </row>
    <row r="204" spans="1:116">
      <c r="A204" s="168">
        <v>2201</v>
      </c>
      <c r="B204" s="2">
        <v>147017</v>
      </c>
      <c r="C204" s="2" t="s">
        <v>403</v>
      </c>
      <c r="D204" s="30"/>
      <c r="E204" s="226"/>
      <c r="F204" s="176">
        <v>0</v>
      </c>
      <c r="G204" s="176">
        <v>0</v>
      </c>
      <c r="H204" s="176">
        <v>0</v>
      </c>
      <c r="I204" s="176">
        <v>0</v>
      </c>
      <c r="J204" s="176">
        <v>0</v>
      </c>
      <c r="K204" s="176">
        <v>0</v>
      </c>
      <c r="L204" s="30">
        <f t="shared" si="104"/>
        <v>0</v>
      </c>
      <c r="M204" s="176">
        <f t="shared" si="105"/>
        <v>0</v>
      </c>
      <c r="N204" s="226"/>
      <c r="O204" s="176">
        <v>0</v>
      </c>
      <c r="P204" s="176">
        <v>0</v>
      </c>
      <c r="Q204" s="176">
        <v>0</v>
      </c>
      <c r="R204" s="176">
        <v>0</v>
      </c>
      <c r="S204" s="176">
        <v>0</v>
      </c>
      <c r="T204" s="176">
        <v>0</v>
      </c>
      <c r="U204" s="176">
        <f t="shared" si="106"/>
        <v>0</v>
      </c>
      <c r="V204" s="176">
        <f t="shared" si="107"/>
        <v>0</v>
      </c>
      <c r="W204" s="226"/>
      <c r="X204" s="247"/>
      <c r="Y204" s="176">
        <v>0</v>
      </c>
      <c r="Z204" s="176">
        <v>0</v>
      </c>
      <c r="AA204" s="176">
        <v>0</v>
      </c>
      <c r="AB204" s="176">
        <v>0</v>
      </c>
      <c r="AC204" s="176">
        <v>0</v>
      </c>
      <c r="AD204" s="176">
        <f t="shared" si="108"/>
        <v>0</v>
      </c>
      <c r="AE204" s="247">
        <f t="shared" si="109"/>
        <v>0</v>
      </c>
      <c r="AF204" s="226"/>
      <c r="AG204" s="247">
        <v>0</v>
      </c>
      <c r="AH204" s="247">
        <v>0</v>
      </c>
      <c r="AI204" s="247">
        <v>0</v>
      </c>
      <c r="AJ204" s="226"/>
      <c r="AK204" s="247">
        <f t="shared" si="110"/>
        <v>0</v>
      </c>
      <c r="AL204" s="247">
        <f t="shared" si="111"/>
        <v>0</v>
      </c>
      <c r="AM204" s="247">
        <f t="shared" si="112"/>
        <v>0</v>
      </c>
      <c r="AN204" s="225"/>
      <c r="AO204" s="225">
        <v>0</v>
      </c>
      <c r="AP204" s="225">
        <v>0</v>
      </c>
      <c r="AQ204" s="225">
        <v>0</v>
      </c>
      <c r="AR204" s="225">
        <v>0</v>
      </c>
      <c r="AS204" s="225">
        <v>0</v>
      </c>
      <c r="AT204" s="225">
        <v>0</v>
      </c>
      <c r="AU204" s="225">
        <v>0</v>
      </c>
      <c r="AV204" s="225">
        <f t="shared" si="113"/>
        <v>0</v>
      </c>
      <c r="AX204" s="225">
        <f t="shared" si="114"/>
        <v>0</v>
      </c>
      <c r="AY204" s="225">
        <f t="shared" si="115"/>
        <v>0</v>
      </c>
      <c r="AZ204" s="225">
        <f t="shared" si="116"/>
        <v>0</v>
      </c>
      <c r="BA204" s="225">
        <f t="shared" si="117"/>
        <v>0</v>
      </c>
      <c r="BB204" s="225">
        <f t="shared" si="118"/>
        <v>0</v>
      </c>
      <c r="BC204" s="225">
        <f t="shared" si="119"/>
        <v>0</v>
      </c>
      <c r="BD204" s="225">
        <f t="shared" si="120"/>
        <v>0</v>
      </c>
      <c r="BE204" s="225">
        <f t="shared" si="121"/>
        <v>0</v>
      </c>
      <c r="BF204" s="225">
        <f t="shared" si="122"/>
        <v>0</v>
      </c>
      <c r="BG204" s="225">
        <f t="shared" si="95"/>
        <v>0</v>
      </c>
      <c r="BH204" s="225">
        <f t="shared" si="96"/>
        <v>0</v>
      </c>
      <c r="BI204" s="225">
        <f t="shared" si="97"/>
        <v>0</v>
      </c>
      <c r="BJ204" s="225">
        <f t="shared" si="98"/>
        <v>0</v>
      </c>
      <c r="BK204" s="225">
        <f t="shared" si="99"/>
        <v>0</v>
      </c>
      <c r="BL204" s="225">
        <f t="shared" si="100"/>
        <v>0</v>
      </c>
      <c r="BM204" s="225">
        <f t="shared" si="101"/>
        <v>0</v>
      </c>
      <c r="BN204" s="225">
        <f t="shared" si="123"/>
        <v>0</v>
      </c>
      <c r="BO204" s="225">
        <f t="shared" si="102"/>
        <v>0</v>
      </c>
      <c r="BP204" s="225"/>
      <c r="BQ204" s="225"/>
      <c r="BR204" s="225"/>
      <c r="BS204" s="225"/>
      <c r="BT204" s="225"/>
      <c r="BU204" s="225"/>
      <c r="BV204" s="225"/>
      <c r="BW204" s="225"/>
      <c r="BY204" s="176"/>
      <c r="BZ204" s="176"/>
      <c r="CA204" s="176"/>
      <c r="CB204" s="176"/>
      <c r="CC204" s="176"/>
      <c r="CD204" s="176"/>
      <c r="CE204" s="176"/>
      <c r="CF204" s="176"/>
      <c r="CH204" s="248"/>
      <c r="CI204" s="248"/>
      <c r="CJ204" s="248"/>
      <c r="CK204" s="248"/>
      <c r="CL204" s="248"/>
      <c r="CM204" s="248"/>
      <c r="CN204" s="248"/>
      <c r="CO204" s="248"/>
      <c r="CQ204" s="248"/>
      <c r="CR204" s="248"/>
      <c r="CS204" s="248"/>
      <c r="CT204" s="248"/>
      <c r="CU204" s="248"/>
      <c r="CV204" s="248"/>
      <c r="CW204" s="248"/>
      <c r="CX204" s="248"/>
      <c r="CY204" s="248"/>
      <c r="DA204" s="248"/>
      <c r="DB204" s="248"/>
      <c r="DC204" s="248"/>
      <c r="DD204" s="248"/>
      <c r="DE204" s="248"/>
      <c r="DF204" s="248"/>
      <c r="DG204" s="248"/>
      <c r="DH204" s="248"/>
      <c r="DJ204" s="179" t="e">
        <f>#REF!+((SUMIFS($F204:$AM204,$F$3:$AM$3,$DJ$7)*80%))+SUMIFS(#REF!,#REF!,$DJ$7)</f>
        <v>#REF!</v>
      </c>
      <c r="DK204" s="179">
        <f t="shared" si="103"/>
        <v>0</v>
      </c>
      <c r="DL204" s="173" t="e">
        <f t="shared" si="124"/>
        <v>#REF!</v>
      </c>
    </row>
    <row r="205" spans="1:116">
      <c r="A205" s="168">
        <v>3359</v>
      </c>
      <c r="B205" s="2">
        <v>148083</v>
      </c>
      <c r="C205" s="2" t="s">
        <v>404</v>
      </c>
      <c r="D205" s="30"/>
      <c r="E205" s="226"/>
      <c r="F205" s="176">
        <v>0</v>
      </c>
      <c r="G205" s="176">
        <v>0</v>
      </c>
      <c r="H205" s="176">
        <v>0</v>
      </c>
      <c r="I205" s="176">
        <v>0</v>
      </c>
      <c r="J205" s="176">
        <v>0</v>
      </c>
      <c r="K205" s="176">
        <v>0</v>
      </c>
      <c r="L205" s="30">
        <f t="shared" si="104"/>
        <v>0</v>
      </c>
      <c r="M205" s="176">
        <f t="shared" si="105"/>
        <v>0</v>
      </c>
      <c r="N205" s="226"/>
      <c r="O205" s="176">
        <v>0</v>
      </c>
      <c r="P205" s="176">
        <v>0</v>
      </c>
      <c r="Q205" s="176">
        <v>17659.2</v>
      </c>
      <c r="R205" s="176">
        <v>0</v>
      </c>
      <c r="S205" s="176">
        <v>0</v>
      </c>
      <c r="T205" s="176">
        <v>0</v>
      </c>
      <c r="U205" s="176">
        <f t="shared" si="106"/>
        <v>17659.2</v>
      </c>
      <c r="V205" s="176">
        <f t="shared" si="107"/>
        <v>14127.36</v>
      </c>
      <c r="W205" s="226"/>
      <c r="X205" s="247"/>
      <c r="Y205" s="176">
        <v>0</v>
      </c>
      <c r="Z205" s="176">
        <v>9973.5157894736858</v>
      </c>
      <c r="AA205" s="176">
        <v>0</v>
      </c>
      <c r="AB205" s="176">
        <v>0</v>
      </c>
      <c r="AC205" s="176">
        <v>0</v>
      </c>
      <c r="AD205" s="176">
        <f t="shared" si="108"/>
        <v>9973.5157894736858</v>
      </c>
      <c r="AE205" s="247">
        <f t="shared" si="109"/>
        <v>7978.8126315789486</v>
      </c>
      <c r="AF205" s="226"/>
      <c r="AG205" s="247">
        <v>0</v>
      </c>
      <c r="AH205" s="247">
        <v>1234.3499999999999</v>
      </c>
      <c r="AI205" s="247">
        <v>636.63157894736844</v>
      </c>
      <c r="AJ205" s="226"/>
      <c r="AK205" s="247">
        <f t="shared" si="110"/>
        <v>0</v>
      </c>
      <c r="AL205" s="247">
        <f t="shared" si="111"/>
        <v>987.48</v>
      </c>
      <c r="AM205" s="247">
        <f t="shared" si="112"/>
        <v>509.30526315789479</v>
      </c>
      <c r="AN205" s="225"/>
      <c r="AO205" s="225">
        <v>0</v>
      </c>
      <c r="AP205" s="225">
        <v>0</v>
      </c>
      <c r="AQ205" s="225">
        <v>19866.600000000002</v>
      </c>
      <c r="AR205" s="225">
        <v>0</v>
      </c>
      <c r="AS205" s="225">
        <v>0</v>
      </c>
      <c r="AT205" s="225">
        <v>0</v>
      </c>
      <c r="AU205" s="225">
        <v>1425.4499999999998</v>
      </c>
      <c r="AV205" s="225">
        <f t="shared" si="113"/>
        <v>21292.050000000003</v>
      </c>
      <c r="AX205" s="225">
        <f t="shared" si="114"/>
        <v>0</v>
      </c>
      <c r="AY205" s="225">
        <f t="shared" si="115"/>
        <v>0</v>
      </c>
      <c r="AZ205" s="225">
        <f t="shared" si="116"/>
        <v>19866.600000000002</v>
      </c>
      <c r="BA205" s="225">
        <f t="shared" si="117"/>
        <v>0</v>
      </c>
      <c r="BB205" s="225">
        <f t="shared" si="118"/>
        <v>0</v>
      </c>
      <c r="BC205" s="225">
        <f t="shared" si="119"/>
        <v>0</v>
      </c>
      <c r="BD205" s="225">
        <f t="shared" si="120"/>
        <v>1425.4499999999998</v>
      </c>
      <c r="BE205" s="225">
        <f t="shared" si="121"/>
        <v>21292.050000000003</v>
      </c>
      <c r="BF205" s="225">
        <f t="shared" si="122"/>
        <v>0</v>
      </c>
      <c r="BG205" s="225">
        <f t="shared" si="95"/>
        <v>0</v>
      </c>
      <c r="BH205" s="225">
        <f t="shared" si="96"/>
        <v>0</v>
      </c>
      <c r="BI205" s="225">
        <f t="shared" si="97"/>
        <v>19866.600000000002</v>
      </c>
      <c r="BJ205" s="225">
        <f t="shared" si="98"/>
        <v>0</v>
      </c>
      <c r="BK205" s="225">
        <f t="shared" si="99"/>
        <v>0</v>
      </c>
      <c r="BL205" s="225">
        <f t="shared" si="100"/>
        <v>0</v>
      </c>
      <c r="BM205" s="225">
        <f t="shared" si="101"/>
        <v>1425.4499999999998</v>
      </c>
      <c r="BN205" s="225">
        <f t="shared" si="123"/>
        <v>21292.050000000003</v>
      </c>
      <c r="BO205" s="225">
        <f t="shared" si="102"/>
        <v>0</v>
      </c>
      <c r="BP205" s="225"/>
      <c r="BQ205" s="225"/>
      <c r="BR205" s="225"/>
      <c r="BS205" s="225"/>
      <c r="BT205" s="225"/>
      <c r="BU205" s="225"/>
      <c r="BV205" s="225"/>
      <c r="BW205" s="225"/>
      <c r="BY205" s="176"/>
      <c r="BZ205" s="176"/>
      <c r="CA205" s="176"/>
      <c r="CB205" s="176"/>
      <c r="CC205" s="176"/>
      <c r="CD205" s="176"/>
      <c r="CE205" s="176"/>
      <c r="CF205" s="176"/>
      <c r="CH205" s="248"/>
      <c r="CI205" s="248"/>
      <c r="CJ205" s="248"/>
      <c r="CK205" s="248"/>
      <c r="CL205" s="248"/>
      <c r="CM205" s="248"/>
      <c r="CN205" s="248"/>
      <c r="CO205" s="248"/>
      <c r="CQ205" s="248"/>
      <c r="CR205" s="248"/>
      <c r="CS205" s="248"/>
      <c r="CT205" s="248"/>
      <c r="CU205" s="248"/>
      <c r="CV205" s="248"/>
      <c r="CW205" s="248"/>
      <c r="CX205" s="248"/>
      <c r="CY205" s="248"/>
      <c r="DA205" s="248"/>
      <c r="DB205" s="248"/>
      <c r="DC205" s="248"/>
      <c r="DD205" s="248"/>
      <c r="DE205" s="248"/>
      <c r="DF205" s="248"/>
      <c r="DG205" s="248"/>
      <c r="DH205" s="248"/>
      <c r="DJ205" s="179" t="e">
        <f>#REF!+((SUMIFS($F205:$AM205,$F$3:$AM$3,$DJ$7)*80%))+SUMIFS(#REF!,#REF!,$DJ$7)</f>
        <v>#REF!</v>
      </c>
      <c r="DK205" s="179">
        <f t="shared" si="103"/>
        <v>0</v>
      </c>
      <c r="DL205" s="173" t="e">
        <f t="shared" si="124"/>
        <v>#REF!</v>
      </c>
    </row>
    <row r="206" spans="1:116">
      <c r="A206" s="168">
        <v>4045</v>
      </c>
      <c r="B206" s="2">
        <v>149155</v>
      </c>
      <c r="C206" s="2" t="s">
        <v>405</v>
      </c>
      <c r="D206" s="30"/>
      <c r="E206" s="226"/>
      <c r="F206" s="176">
        <v>0</v>
      </c>
      <c r="G206" s="176">
        <v>0</v>
      </c>
      <c r="H206" s="176">
        <v>0</v>
      </c>
      <c r="I206" s="176">
        <v>0</v>
      </c>
      <c r="J206" s="176">
        <v>0</v>
      </c>
      <c r="K206" s="176">
        <v>0</v>
      </c>
      <c r="L206" s="30">
        <f t="shared" si="104"/>
        <v>0</v>
      </c>
      <c r="M206" s="176">
        <f t="shared" si="105"/>
        <v>0</v>
      </c>
      <c r="N206" s="226"/>
      <c r="O206" s="176">
        <v>0</v>
      </c>
      <c r="P206" s="176">
        <v>0</v>
      </c>
      <c r="Q206" s="176">
        <v>0</v>
      </c>
      <c r="R206" s="176">
        <v>0</v>
      </c>
      <c r="S206" s="176">
        <v>0</v>
      </c>
      <c r="T206" s="176">
        <v>0</v>
      </c>
      <c r="U206" s="176">
        <f t="shared" si="106"/>
        <v>0</v>
      </c>
      <c r="V206" s="176">
        <f t="shared" si="107"/>
        <v>0</v>
      </c>
      <c r="W206" s="226"/>
      <c r="X206" s="247"/>
      <c r="Y206" s="176">
        <v>0</v>
      </c>
      <c r="Z206" s="176">
        <v>0</v>
      </c>
      <c r="AA206" s="176">
        <v>0</v>
      </c>
      <c r="AB206" s="176">
        <v>0</v>
      </c>
      <c r="AC206" s="176">
        <v>0</v>
      </c>
      <c r="AD206" s="176">
        <f t="shared" si="108"/>
        <v>0</v>
      </c>
      <c r="AE206" s="247">
        <f t="shared" si="109"/>
        <v>0</v>
      </c>
      <c r="AF206" s="226"/>
      <c r="AG206" s="247">
        <v>0</v>
      </c>
      <c r="AH206" s="247">
        <v>0</v>
      </c>
      <c r="AI206" s="247">
        <v>0</v>
      </c>
      <c r="AJ206" s="226"/>
      <c r="AK206" s="247">
        <f t="shared" si="110"/>
        <v>0</v>
      </c>
      <c r="AL206" s="247">
        <f t="shared" si="111"/>
        <v>0</v>
      </c>
      <c r="AM206" s="247">
        <f t="shared" si="112"/>
        <v>0</v>
      </c>
      <c r="AN206" s="225"/>
      <c r="AO206" s="225">
        <v>0</v>
      </c>
      <c r="AP206" s="225">
        <v>0</v>
      </c>
      <c r="AQ206" s="225">
        <v>0</v>
      </c>
      <c r="AR206" s="225">
        <v>0</v>
      </c>
      <c r="AS206" s="225">
        <v>0</v>
      </c>
      <c r="AT206" s="225">
        <v>0</v>
      </c>
      <c r="AU206" s="225">
        <v>0</v>
      </c>
      <c r="AV206" s="225">
        <f t="shared" si="113"/>
        <v>0</v>
      </c>
      <c r="AX206" s="225">
        <f t="shared" si="114"/>
        <v>0</v>
      </c>
      <c r="AY206" s="225">
        <f t="shared" si="115"/>
        <v>0</v>
      </c>
      <c r="AZ206" s="225">
        <f t="shared" si="116"/>
        <v>0</v>
      </c>
      <c r="BA206" s="225">
        <f t="shared" si="117"/>
        <v>0</v>
      </c>
      <c r="BB206" s="225">
        <f t="shared" si="118"/>
        <v>0</v>
      </c>
      <c r="BC206" s="225">
        <f t="shared" si="119"/>
        <v>0</v>
      </c>
      <c r="BD206" s="225">
        <f t="shared" si="120"/>
        <v>0</v>
      </c>
      <c r="BE206" s="225">
        <f t="shared" si="121"/>
        <v>0</v>
      </c>
      <c r="BF206" s="225">
        <f t="shared" si="122"/>
        <v>0</v>
      </c>
      <c r="BG206" s="225">
        <f t="shared" si="95"/>
        <v>0</v>
      </c>
      <c r="BH206" s="225">
        <f t="shared" si="96"/>
        <v>0</v>
      </c>
      <c r="BI206" s="225">
        <f t="shared" si="97"/>
        <v>0</v>
      </c>
      <c r="BJ206" s="225">
        <f t="shared" si="98"/>
        <v>0</v>
      </c>
      <c r="BK206" s="225">
        <f t="shared" si="99"/>
        <v>0</v>
      </c>
      <c r="BL206" s="225">
        <f t="shared" si="100"/>
        <v>0</v>
      </c>
      <c r="BM206" s="225">
        <f t="shared" si="101"/>
        <v>0</v>
      </c>
      <c r="BN206" s="225">
        <f t="shared" si="123"/>
        <v>0</v>
      </c>
      <c r="BO206" s="225">
        <f t="shared" si="102"/>
        <v>0</v>
      </c>
      <c r="BP206" s="225"/>
      <c r="BQ206" s="225"/>
      <c r="BR206" s="225"/>
      <c r="BS206" s="225"/>
      <c r="BT206" s="225"/>
      <c r="BU206" s="225"/>
      <c r="BV206" s="225"/>
      <c r="BW206" s="225"/>
      <c r="BY206" s="176"/>
      <c r="BZ206" s="176"/>
      <c r="CA206" s="176"/>
      <c r="CB206" s="176"/>
      <c r="CC206" s="176"/>
      <c r="CD206" s="176"/>
      <c r="CE206" s="176"/>
      <c r="CF206" s="176"/>
      <c r="CH206" s="248"/>
      <c r="CI206" s="248"/>
      <c r="CJ206" s="248"/>
      <c r="CK206" s="248"/>
      <c r="CL206" s="248"/>
      <c r="CM206" s="248"/>
      <c r="CN206" s="248"/>
      <c r="CO206" s="248"/>
      <c r="CQ206" s="248"/>
      <c r="CR206" s="248"/>
      <c r="CS206" s="248"/>
      <c r="CT206" s="248"/>
      <c r="CU206" s="248"/>
      <c r="CV206" s="248"/>
      <c r="CW206" s="248"/>
      <c r="CX206" s="248"/>
      <c r="CY206" s="248"/>
      <c r="DA206" s="248"/>
      <c r="DB206" s="248"/>
      <c r="DC206" s="248"/>
      <c r="DD206" s="248"/>
      <c r="DE206" s="248"/>
      <c r="DF206" s="248"/>
      <c r="DG206" s="248"/>
      <c r="DH206" s="248"/>
      <c r="DJ206" s="179" t="e">
        <f>#REF!+((SUMIFS($F206:$AM206,$F$3:$AM$3,$DJ$7)*80%))+SUMIFS(#REF!,#REF!,$DJ$7)</f>
        <v>#REF!</v>
      </c>
      <c r="DK206" s="179">
        <f t="shared" si="103"/>
        <v>0</v>
      </c>
      <c r="DL206" s="173" t="e">
        <f t="shared" si="124"/>
        <v>#REF!</v>
      </c>
    </row>
    <row r="207" spans="1:116">
      <c r="A207" s="168">
        <v>4038</v>
      </c>
      <c r="B207" s="2">
        <v>147757</v>
      </c>
      <c r="C207" s="2" t="s">
        <v>406</v>
      </c>
      <c r="D207" s="30"/>
      <c r="E207" s="226"/>
      <c r="F207" s="176">
        <v>0</v>
      </c>
      <c r="G207" s="176">
        <v>0</v>
      </c>
      <c r="H207" s="176">
        <v>164451.30000000002</v>
      </c>
      <c r="I207" s="176">
        <v>1755</v>
      </c>
      <c r="J207" s="176">
        <v>0</v>
      </c>
      <c r="K207" s="176">
        <v>0</v>
      </c>
      <c r="L207" s="30">
        <f t="shared" si="104"/>
        <v>166206.30000000002</v>
      </c>
      <c r="M207" s="176">
        <f t="shared" si="105"/>
        <v>132965.04</v>
      </c>
      <c r="N207" s="226"/>
      <c r="O207" s="176">
        <v>0</v>
      </c>
      <c r="P207" s="176">
        <v>0</v>
      </c>
      <c r="Q207" s="176">
        <v>113681.1</v>
      </c>
      <c r="R207" s="176">
        <v>780</v>
      </c>
      <c r="S207" s="176">
        <v>0</v>
      </c>
      <c r="T207" s="176">
        <v>0</v>
      </c>
      <c r="U207" s="176">
        <f t="shared" si="106"/>
        <v>114461.1</v>
      </c>
      <c r="V207" s="176">
        <f t="shared" si="107"/>
        <v>91568.88</v>
      </c>
      <c r="W207" s="226"/>
      <c r="X207" s="247"/>
      <c r="Y207" s="176">
        <v>0</v>
      </c>
      <c r="Z207" s="176">
        <v>125151.53684210527</v>
      </c>
      <c r="AA207" s="176">
        <v>795.78947368421041</v>
      </c>
      <c r="AB207" s="176">
        <v>21.739612188365648</v>
      </c>
      <c r="AC207" s="176">
        <v>0</v>
      </c>
      <c r="AD207" s="176">
        <f t="shared" si="108"/>
        <v>125969.06592797785</v>
      </c>
      <c r="AE207" s="247">
        <f t="shared" si="109"/>
        <v>100775.25274238229</v>
      </c>
      <c r="AF207" s="226"/>
      <c r="AG207" s="247">
        <v>4377.75</v>
      </c>
      <c r="AH207" s="247">
        <v>3198</v>
      </c>
      <c r="AI207" s="247">
        <v>3443.4947368421049</v>
      </c>
      <c r="AJ207" s="226"/>
      <c r="AK207" s="247">
        <f t="shared" si="110"/>
        <v>3502.2000000000003</v>
      </c>
      <c r="AL207" s="247">
        <f t="shared" si="111"/>
        <v>2558.4</v>
      </c>
      <c r="AM207" s="247">
        <f t="shared" si="112"/>
        <v>2754.7957894736842</v>
      </c>
      <c r="AN207" s="225"/>
      <c r="AO207" s="225">
        <v>0</v>
      </c>
      <c r="AP207" s="225">
        <v>0</v>
      </c>
      <c r="AQ207" s="225">
        <v>140169.9</v>
      </c>
      <c r="AR207" s="225">
        <v>1365</v>
      </c>
      <c r="AS207" s="225">
        <v>74.578947368421055</v>
      </c>
      <c r="AT207" s="225">
        <v>0</v>
      </c>
      <c r="AU207" s="225">
        <v>4065.75</v>
      </c>
      <c r="AV207" s="225">
        <f t="shared" si="113"/>
        <v>145675.22894736842</v>
      </c>
      <c r="AX207" s="225">
        <f t="shared" si="114"/>
        <v>0</v>
      </c>
      <c r="AY207" s="225">
        <f t="shared" si="115"/>
        <v>0</v>
      </c>
      <c r="AZ207" s="225">
        <f t="shared" si="116"/>
        <v>-24281.400000000023</v>
      </c>
      <c r="BA207" s="225">
        <f t="shared" si="117"/>
        <v>-390</v>
      </c>
      <c r="BB207" s="225">
        <f t="shared" si="118"/>
        <v>74.578947368421055</v>
      </c>
      <c r="BC207" s="225">
        <f t="shared" si="119"/>
        <v>0</v>
      </c>
      <c r="BD207" s="225">
        <f t="shared" si="120"/>
        <v>-312</v>
      </c>
      <c r="BE207" s="225">
        <f t="shared" si="121"/>
        <v>-24908.821052631603</v>
      </c>
      <c r="BF207" s="225">
        <f t="shared" si="122"/>
        <v>0</v>
      </c>
      <c r="BG207" s="225">
        <f t="shared" si="95"/>
        <v>0</v>
      </c>
      <c r="BH207" s="225">
        <f t="shared" si="96"/>
        <v>0</v>
      </c>
      <c r="BI207" s="225">
        <f t="shared" si="97"/>
        <v>8608.859999999986</v>
      </c>
      <c r="BJ207" s="225">
        <f t="shared" si="98"/>
        <v>-39</v>
      </c>
      <c r="BK207" s="225">
        <f t="shared" si="99"/>
        <v>74.578947368421055</v>
      </c>
      <c r="BL207" s="225">
        <f t="shared" si="100"/>
        <v>0</v>
      </c>
      <c r="BM207" s="225">
        <f t="shared" si="101"/>
        <v>563.54999999999973</v>
      </c>
      <c r="BN207" s="225">
        <f t="shared" si="123"/>
        <v>9207.988947368407</v>
      </c>
      <c r="BO207" s="225">
        <f t="shared" si="102"/>
        <v>0</v>
      </c>
      <c r="BP207" s="225"/>
      <c r="BQ207" s="225"/>
      <c r="BR207" s="225"/>
      <c r="BS207" s="225"/>
      <c r="BT207" s="225"/>
      <c r="BU207" s="225"/>
      <c r="BV207" s="225"/>
      <c r="BW207" s="225"/>
      <c r="BY207" s="176"/>
      <c r="BZ207" s="176"/>
      <c r="CA207" s="176"/>
      <c r="CB207" s="176"/>
      <c r="CC207" s="176"/>
      <c r="CD207" s="176"/>
      <c r="CE207" s="176"/>
      <c r="CF207" s="176"/>
      <c r="CH207" s="248"/>
      <c r="CI207" s="248"/>
      <c r="CJ207" s="248"/>
      <c r="CK207" s="248"/>
      <c r="CL207" s="248"/>
      <c r="CM207" s="248"/>
      <c r="CN207" s="248"/>
      <c r="CO207" s="248"/>
      <c r="CQ207" s="248"/>
      <c r="CR207" s="248"/>
      <c r="CS207" s="248"/>
      <c r="CT207" s="248"/>
      <c r="CU207" s="248"/>
      <c r="CV207" s="248"/>
      <c r="CW207" s="248"/>
      <c r="CX207" s="248"/>
      <c r="CY207" s="248"/>
      <c r="DA207" s="248"/>
      <c r="DB207" s="248"/>
      <c r="DC207" s="248"/>
      <c r="DD207" s="248"/>
      <c r="DE207" s="248"/>
      <c r="DF207" s="248"/>
      <c r="DG207" s="248"/>
      <c r="DH207" s="248"/>
      <c r="DJ207" s="179" t="e">
        <f>#REF!+((SUMIFS($F207:$AM207,$F$3:$AM$3,$DJ$7)*80%))+SUMIFS(#REF!,#REF!,$DJ$7)</f>
        <v>#REF!</v>
      </c>
      <c r="DK207" s="179">
        <f t="shared" si="103"/>
        <v>0</v>
      </c>
      <c r="DL207" s="173" t="e">
        <f t="shared" si="124"/>
        <v>#REF!</v>
      </c>
    </row>
    <row r="208" spans="1:116" s="219" customFormat="1" ht="15" thickBot="1">
      <c r="A208" s="168">
        <v>2188</v>
      </c>
      <c r="B208" s="2">
        <v>143433</v>
      </c>
      <c r="C208" s="2" t="s">
        <v>407</v>
      </c>
      <c r="D208" s="30"/>
      <c r="E208" s="244"/>
      <c r="F208" s="176">
        <v>0</v>
      </c>
      <c r="G208" s="176">
        <v>0</v>
      </c>
      <c r="H208" s="176">
        <v>20970.3</v>
      </c>
      <c r="I208" s="176">
        <v>975</v>
      </c>
      <c r="J208" s="176">
        <v>372.89473684210526</v>
      </c>
      <c r="K208" s="176">
        <v>0</v>
      </c>
      <c r="L208" s="30">
        <f t="shared" ref="L208:L253" si="125">SUM(F208:K208)</f>
        <v>22318.194736842106</v>
      </c>
      <c r="M208" s="176">
        <f t="shared" ref="M208:M253" si="126">L208*80%</f>
        <v>17854.555789473685</v>
      </c>
      <c r="N208" s="244"/>
      <c r="O208" s="176">
        <v>0</v>
      </c>
      <c r="P208" s="176">
        <v>0</v>
      </c>
      <c r="Q208" s="176">
        <v>13244.4</v>
      </c>
      <c r="R208" s="176">
        <v>390</v>
      </c>
      <c r="S208" s="176">
        <v>149.15789473684211</v>
      </c>
      <c r="T208" s="176">
        <v>0</v>
      </c>
      <c r="U208" s="176">
        <f t="shared" ref="U208:U253" si="127">SUM(O208:T208)</f>
        <v>13783.557894736841</v>
      </c>
      <c r="V208" s="176">
        <f t="shared" ref="V208:V260" si="128">U208*80%</f>
        <v>11026.846315789473</v>
      </c>
      <c r="W208" s="244"/>
      <c r="X208" s="247"/>
      <c r="Y208" s="176">
        <v>0</v>
      </c>
      <c r="Z208" s="176">
        <v>14477.684210526317</v>
      </c>
      <c r="AA208" s="176">
        <v>568.42105263157896</v>
      </c>
      <c r="AB208" s="176">
        <v>217.39612188365649</v>
      </c>
      <c r="AC208" s="176">
        <v>0</v>
      </c>
      <c r="AD208" s="176">
        <f t="shared" ref="AD208:AD253" si="129">SUM(X208:AC208)</f>
        <v>15263.501385041551</v>
      </c>
      <c r="AE208" s="247">
        <f t="shared" ref="AE208:AE260" si="130">AD208*80%</f>
        <v>12210.801108033242</v>
      </c>
      <c r="AF208" s="244"/>
      <c r="AG208" s="247">
        <v>118.95</v>
      </c>
      <c r="AH208" s="247">
        <v>31.2</v>
      </c>
      <c r="AI208" s="247">
        <v>78.442105263157899</v>
      </c>
      <c r="AJ208" s="244"/>
      <c r="AK208" s="247">
        <f t="shared" si="110"/>
        <v>95.160000000000011</v>
      </c>
      <c r="AL208" s="247">
        <f t="shared" si="111"/>
        <v>24.96</v>
      </c>
      <c r="AM208" s="247">
        <f t="shared" si="112"/>
        <v>62.753684210526323</v>
      </c>
      <c r="AN208" s="161"/>
      <c r="AO208" s="225">
        <v>0</v>
      </c>
      <c r="AP208" s="225">
        <v>0</v>
      </c>
      <c r="AQ208" s="225">
        <v>23177.7</v>
      </c>
      <c r="AR208" s="225">
        <v>1365</v>
      </c>
      <c r="AS208" s="225">
        <v>522.0526315789474</v>
      </c>
      <c r="AT208" s="225">
        <v>0</v>
      </c>
      <c r="AU208" s="225">
        <v>150.15</v>
      </c>
      <c r="AV208" s="225">
        <f t="shared" si="113"/>
        <v>25214.902631578949</v>
      </c>
      <c r="AW208"/>
      <c r="AX208" s="225">
        <f t="shared" si="114"/>
        <v>0</v>
      </c>
      <c r="AY208" s="225">
        <f t="shared" si="115"/>
        <v>0</v>
      </c>
      <c r="AZ208" s="225">
        <f t="shared" si="116"/>
        <v>2207.4000000000015</v>
      </c>
      <c r="BA208" s="225">
        <f t="shared" si="117"/>
        <v>390</v>
      </c>
      <c r="BB208" s="225">
        <f t="shared" si="118"/>
        <v>149.15789473684214</v>
      </c>
      <c r="BC208" s="225">
        <f t="shared" si="119"/>
        <v>0</v>
      </c>
      <c r="BD208" s="225">
        <f t="shared" si="120"/>
        <v>31.200000000000003</v>
      </c>
      <c r="BE208" s="225">
        <f t="shared" si="121"/>
        <v>2777.7578947368434</v>
      </c>
      <c r="BF208" s="225">
        <f t="shared" si="122"/>
        <v>0</v>
      </c>
      <c r="BG208" s="225">
        <f t="shared" si="95"/>
        <v>0</v>
      </c>
      <c r="BH208" s="225">
        <f t="shared" si="96"/>
        <v>0</v>
      </c>
      <c r="BI208" s="225">
        <f t="shared" si="97"/>
        <v>6401.4599999999991</v>
      </c>
      <c r="BJ208" s="225">
        <f t="shared" si="98"/>
        <v>585</v>
      </c>
      <c r="BK208" s="225">
        <f t="shared" si="99"/>
        <v>223.73684210526318</v>
      </c>
      <c r="BL208" s="225">
        <f t="shared" si="100"/>
        <v>0</v>
      </c>
      <c r="BM208" s="225">
        <f t="shared" si="101"/>
        <v>54.989999999999995</v>
      </c>
      <c r="BN208" s="225">
        <f t="shared" si="123"/>
        <v>7265.1868421052623</v>
      </c>
      <c r="BO208" s="225">
        <f t="shared" si="102"/>
        <v>0</v>
      </c>
      <c r="BP208" s="161"/>
      <c r="BQ208" s="225"/>
      <c r="BR208" s="225"/>
      <c r="BS208" s="161"/>
      <c r="BT208" s="161"/>
      <c r="BU208" s="161"/>
      <c r="BV208" s="161"/>
      <c r="BW208" s="161"/>
      <c r="BX208"/>
      <c r="BY208" s="161"/>
      <c r="BZ208" s="161"/>
      <c r="CA208" s="161"/>
      <c r="CB208" s="161"/>
      <c r="CC208" s="161"/>
      <c r="CD208" s="161"/>
      <c r="CE208" s="161"/>
      <c r="CF208" s="161"/>
      <c r="CG208"/>
      <c r="CH208" s="161"/>
      <c r="CI208" s="161"/>
      <c r="CJ208" s="161"/>
      <c r="CK208" s="161"/>
      <c r="CL208" s="161"/>
      <c r="CM208" s="161"/>
      <c r="CN208" s="161"/>
      <c r="CO208" s="161"/>
      <c r="CP208"/>
      <c r="CQ208" s="161"/>
      <c r="CR208" s="161"/>
      <c r="CS208" s="161"/>
      <c r="CT208" s="161"/>
      <c r="CU208" s="161"/>
      <c r="CV208" s="161"/>
      <c r="CW208" s="161"/>
      <c r="CX208" s="161"/>
      <c r="CY208" s="161"/>
      <c r="CZ208"/>
      <c r="DA208" s="161"/>
      <c r="DB208" s="161"/>
      <c r="DC208" s="161"/>
      <c r="DD208" s="161"/>
      <c r="DE208" s="161"/>
      <c r="DF208" s="161"/>
      <c r="DG208" s="161"/>
      <c r="DH208" s="161"/>
      <c r="DJ208" s="222" t="e">
        <f>SUM(DJ8:DJ207)</f>
        <v>#REF!</v>
      </c>
      <c r="DK208" s="223">
        <f>SUM(DK8:DK207)</f>
        <v>737.9279778393352</v>
      </c>
      <c r="DL208" s="224" t="e">
        <f>SUM(DL8:DL207)</f>
        <v>#REF!</v>
      </c>
    </row>
    <row r="209" spans="1:70">
      <c r="A209" s="168">
        <v>4206</v>
      </c>
      <c r="B209" s="2">
        <v>138137</v>
      </c>
      <c r="C209" s="2" t="s">
        <v>408</v>
      </c>
      <c r="F209" s="176">
        <v>0</v>
      </c>
      <c r="G209" s="176">
        <v>0</v>
      </c>
      <c r="H209" s="176">
        <v>0</v>
      </c>
      <c r="I209" s="176">
        <v>0</v>
      </c>
      <c r="J209" s="176">
        <v>0</v>
      </c>
      <c r="K209" s="176">
        <v>0</v>
      </c>
      <c r="L209" s="30">
        <f t="shared" si="125"/>
        <v>0</v>
      </c>
      <c r="M209" s="176">
        <f t="shared" si="126"/>
        <v>0</v>
      </c>
      <c r="O209" s="176">
        <v>0</v>
      </c>
      <c r="P209" s="176">
        <v>0</v>
      </c>
      <c r="Q209" s="176">
        <v>0</v>
      </c>
      <c r="R209" s="176">
        <v>0</v>
      </c>
      <c r="S209" s="176">
        <v>0</v>
      </c>
      <c r="T209" s="176">
        <v>0</v>
      </c>
      <c r="U209" s="176">
        <f t="shared" si="127"/>
        <v>0</v>
      </c>
      <c r="V209" s="176">
        <f t="shared" si="128"/>
        <v>0</v>
      </c>
      <c r="X209" s="247"/>
      <c r="Y209" s="176">
        <v>0</v>
      </c>
      <c r="Z209" s="176">
        <v>0</v>
      </c>
      <c r="AA209" s="176">
        <v>0</v>
      </c>
      <c r="AB209" s="176">
        <v>0</v>
      </c>
      <c r="AC209" s="176">
        <v>0</v>
      </c>
      <c r="AD209" s="176">
        <f t="shared" si="129"/>
        <v>0</v>
      </c>
      <c r="AE209" s="247">
        <f t="shared" si="130"/>
        <v>0</v>
      </c>
      <c r="AG209" s="247">
        <v>0</v>
      </c>
      <c r="AH209" s="247">
        <v>0</v>
      </c>
      <c r="AI209" s="247">
        <v>0</v>
      </c>
      <c r="AK209" s="247">
        <f t="shared" si="110"/>
        <v>0</v>
      </c>
      <c r="AL209" s="247">
        <f t="shared" si="111"/>
        <v>0</v>
      </c>
      <c r="AM209" s="247">
        <f t="shared" si="112"/>
        <v>0</v>
      </c>
      <c r="AO209" s="225">
        <v>0</v>
      </c>
      <c r="AP209" s="225">
        <v>0</v>
      </c>
      <c r="AQ209" s="225">
        <v>0</v>
      </c>
      <c r="AR209" s="225">
        <v>0</v>
      </c>
      <c r="AS209" s="225">
        <v>0</v>
      </c>
      <c r="AT209" s="225">
        <v>0</v>
      </c>
      <c r="AU209" s="225">
        <v>0</v>
      </c>
      <c r="AV209" s="225">
        <f t="shared" si="113"/>
        <v>0</v>
      </c>
      <c r="AX209" s="225">
        <f t="shared" si="114"/>
        <v>0</v>
      </c>
      <c r="AY209" s="225">
        <f t="shared" si="115"/>
        <v>0</v>
      </c>
      <c r="AZ209" s="225">
        <f t="shared" si="116"/>
        <v>0</v>
      </c>
      <c r="BA209" s="225">
        <f t="shared" si="117"/>
        <v>0</v>
      </c>
      <c r="BB209" s="225">
        <f t="shared" si="118"/>
        <v>0</v>
      </c>
      <c r="BC209" s="225">
        <f t="shared" si="119"/>
        <v>0</v>
      </c>
      <c r="BD209" s="225">
        <f t="shared" si="120"/>
        <v>0</v>
      </c>
      <c r="BE209" s="225">
        <f t="shared" si="121"/>
        <v>0</v>
      </c>
      <c r="BF209" s="225">
        <f t="shared" si="122"/>
        <v>0</v>
      </c>
      <c r="BG209" s="225">
        <f t="shared" si="95"/>
        <v>0</v>
      </c>
      <c r="BH209" s="225">
        <f t="shared" si="96"/>
        <v>0</v>
      </c>
      <c r="BI209" s="225">
        <f t="shared" si="97"/>
        <v>0</v>
      </c>
      <c r="BJ209" s="225">
        <f t="shared" si="98"/>
        <v>0</v>
      </c>
      <c r="BK209" s="225">
        <f t="shared" si="99"/>
        <v>0</v>
      </c>
      <c r="BL209" s="225">
        <f t="shared" si="100"/>
        <v>0</v>
      </c>
      <c r="BM209" s="225">
        <f t="shared" si="101"/>
        <v>0</v>
      </c>
      <c r="BN209" s="225">
        <f t="shared" si="123"/>
        <v>0</v>
      </c>
      <c r="BO209" s="225">
        <f t="shared" si="102"/>
        <v>0</v>
      </c>
      <c r="BQ209" s="225"/>
      <c r="BR209" s="225"/>
    </row>
    <row r="210" spans="1:70">
      <c r="A210" s="168">
        <v>2097</v>
      </c>
      <c r="B210" s="2">
        <v>150876</v>
      </c>
      <c r="C210" s="2" t="s">
        <v>153</v>
      </c>
      <c r="F210" s="176">
        <v>0</v>
      </c>
      <c r="G210" s="176">
        <v>0</v>
      </c>
      <c r="H210" s="176">
        <v>30903.600000000002</v>
      </c>
      <c r="I210" s="176">
        <v>780</v>
      </c>
      <c r="J210" s="176">
        <v>0</v>
      </c>
      <c r="K210" s="176">
        <v>0</v>
      </c>
      <c r="L210" s="30">
        <f t="shared" si="125"/>
        <v>31683.600000000002</v>
      </c>
      <c r="M210" s="176">
        <f t="shared" si="126"/>
        <v>25346.880000000005</v>
      </c>
      <c r="O210" s="176">
        <v>0</v>
      </c>
      <c r="P210" s="176">
        <v>0</v>
      </c>
      <c r="Q210" s="176">
        <v>28696.2</v>
      </c>
      <c r="R210" s="176">
        <v>1365</v>
      </c>
      <c r="S210" s="176">
        <v>0</v>
      </c>
      <c r="T210" s="176">
        <v>0</v>
      </c>
      <c r="U210" s="176">
        <f t="shared" si="127"/>
        <v>30061.200000000001</v>
      </c>
      <c r="V210" s="176">
        <f t="shared" si="128"/>
        <v>24048.960000000003</v>
      </c>
      <c r="X210" s="247"/>
      <c r="Y210" s="176">
        <v>0</v>
      </c>
      <c r="Z210" s="176">
        <v>26381.557894736841</v>
      </c>
      <c r="AA210" s="176">
        <v>909.47368421052624</v>
      </c>
      <c r="AB210" s="176">
        <v>86.958448753462591</v>
      </c>
      <c r="AC210" s="176">
        <v>0</v>
      </c>
      <c r="AD210" s="176">
        <f t="shared" si="129"/>
        <v>27377.990027700831</v>
      </c>
      <c r="AE210" s="247">
        <f t="shared" si="130"/>
        <v>21902.392022160668</v>
      </c>
      <c r="AG210" s="247">
        <v>856.05000000000007</v>
      </c>
      <c r="AH210" s="247">
        <v>1015.9499999999999</v>
      </c>
      <c r="AI210" s="247">
        <v>807.15789473684208</v>
      </c>
      <c r="AK210" s="247">
        <f t="shared" si="110"/>
        <v>684.84000000000015</v>
      </c>
      <c r="AL210" s="247">
        <f t="shared" si="111"/>
        <v>812.76</v>
      </c>
      <c r="AM210" s="247">
        <f t="shared" si="112"/>
        <v>645.72631578947369</v>
      </c>
      <c r="AO210" s="225">
        <v>0</v>
      </c>
      <c r="AP210" s="225">
        <v>0</v>
      </c>
      <c r="AQ210" s="225">
        <v>29799.9</v>
      </c>
      <c r="AR210" s="225">
        <v>1365</v>
      </c>
      <c r="AS210" s="225">
        <v>372.89473684210526</v>
      </c>
      <c r="AT210" s="225">
        <v>0</v>
      </c>
      <c r="AU210" s="225">
        <v>1015.9499999999999</v>
      </c>
      <c r="AV210" s="225">
        <f t="shared" si="113"/>
        <v>32553.744736842109</v>
      </c>
      <c r="AX210" s="225">
        <f t="shared" si="114"/>
        <v>0</v>
      </c>
      <c r="AY210" s="225">
        <f t="shared" si="115"/>
        <v>0</v>
      </c>
      <c r="AZ210" s="225">
        <f t="shared" si="116"/>
        <v>-1103.7000000000007</v>
      </c>
      <c r="BA210" s="225">
        <f t="shared" si="117"/>
        <v>585</v>
      </c>
      <c r="BB210" s="225">
        <f t="shared" si="118"/>
        <v>372.89473684210526</v>
      </c>
      <c r="BC210" s="225">
        <f t="shared" si="119"/>
        <v>0</v>
      </c>
      <c r="BD210" s="225">
        <f t="shared" si="120"/>
        <v>159.89999999999986</v>
      </c>
      <c r="BE210" s="225">
        <f t="shared" si="121"/>
        <v>14.094736842104396</v>
      </c>
      <c r="BF210" s="225">
        <f t="shared" si="122"/>
        <v>0</v>
      </c>
      <c r="BG210" s="225">
        <f t="shared" si="95"/>
        <v>0</v>
      </c>
      <c r="BH210" s="225">
        <f t="shared" si="96"/>
        <v>0</v>
      </c>
      <c r="BI210" s="225">
        <f t="shared" si="97"/>
        <v>5077.0199999999968</v>
      </c>
      <c r="BJ210" s="225">
        <f t="shared" si="98"/>
        <v>741</v>
      </c>
      <c r="BK210" s="225">
        <f t="shared" si="99"/>
        <v>372.89473684210526</v>
      </c>
      <c r="BL210" s="225">
        <f t="shared" si="100"/>
        <v>0</v>
      </c>
      <c r="BM210" s="225">
        <f t="shared" si="101"/>
        <v>331.10999999999979</v>
      </c>
      <c r="BN210" s="225">
        <f t="shared" si="123"/>
        <v>6522.0247368421014</v>
      </c>
      <c r="BO210" s="225">
        <f t="shared" si="102"/>
        <v>0</v>
      </c>
      <c r="BQ210" s="225"/>
      <c r="BR210" s="225"/>
    </row>
    <row r="211" spans="1:70">
      <c r="A211" s="168">
        <v>2214</v>
      </c>
      <c r="B211" s="2">
        <v>150708</v>
      </c>
      <c r="C211" s="2" t="s">
        <v>409</v>
      </c>
      <c r="F211" s="176">
        <v>0</v>
      </c>
      <c r="G211" s="176">
        <v>0</v>
      </c>
      <c r="H211" s="176">
        <v>48562.8</v>
      </c>
      <c r="I211" s="176">
        <v>3900</v>
      </c>
      <c r="J211" s="176">
        <v>0</v>
      </c>
      <c r="K211" s="176">
        <v>0</v>
      </c>
      <c r="L211" s="30">
        <f t="shared" si="125"/>
        <v>52462.8</v>
      </c>
      <c r="M211" s="176">
        <f t="shared" si="126"/>
        <v>41970.240000000005</v>
      </c>
      <c r="O211" s="176">
        <v>0</v>
      </c>
      <c r="P211" s="176">
        <v>0</v>
      </c>
      <c r="Q211" s="176">
        <v>32007.3</v>
      </c>
      <c r="R211" s="176">
        <v>0</v>
      </c>
      <c r="S211" s="176">
        <v>0</v>
      </c>
      <c r="T211" s="176">
        <v>0</v>
      </c>
      <c r="U211" s="176">
        <f t="shared" si="127"/>
        <v>32007.3</v>
      </c>
      <c r="V211" s="176">
        <f t="shared" si="128"/>
        <v>25605.84</v>
      </c>
      <c r="X211" s="247"/>
      <c r="Y211" s="176">
        <v>0</v>
      </c>
      <c r="Z211" s="176">
        <v>34424.715789473681</v>
      </c>
      <c r="AA211" s="176">
        <v>1989.4736842105262</v>
      </c>
      <c r="AB211" s="176">
        <v>0</v>
      </c>
      <c r="AC211" s="176">
        <v>0</v>
      </c>
      <c r="AD211" s="176">
        <f t="shared" si="129"/>
        <v>36414.189473684208</v>
      </c>
      <c r="AE211" s="247">
        <f t="shared" si="130"/>
        <v>29131.351578947368</v>
      </c>
      <c r="AG211" s="247">
        <v>1959.75</v>
      </c>
      <c r="AH211" s="247">
        <v>1255.7999999999997</v>
      </c>
      <c r="AI211" s="247">
        <v>1353.4105263157892</v>
      </c>
      <c r="AK211" s="247">
        <f t="shared" si="110"/>
        <v>1567.8000000000002</v>
      </c>
      <c r="AL211" s="247">
        <f t="shared" si="111"/>
        <v>1004.6399999999999</v>
      </c>
      <c r="AM211" s="247">
        <f t="shared" si="112"/>
        <v>1082.7284210526313</v>
      </c>
      <c r="AO211" s="225">
        <v>0</v>
      </c>
      <c r="AP211" s="225">
        <v>0</v>
      </c>
      <c r="AQ211" s="225">
        <v>41940.6</v>
      </c>
      <c r="AR211" s="225">
        <v>3900</v>
      </c>
      <c r="AS211" s="225">
        <v>0</v>
      </c>
      <c r="AT211" s="225">
        <v>0</v>
      </c>
      <c r="AU211" s="225">
        <v>2119.65</v>
      </c>
      <c r="AV211" s="225">
        <f t="shared" si="113"/>
        <v>47960.25</v>
      </c>
      <c r="AX211" s="225">
        <f t="shared" si="114"/>
        <v>0</v>
      </c>
      <c r="AY211" s="225">
        <f t="shared" si="115"/>
        <v>0</v>
      </c>
      <c r="AZ211" s="225">
        <f t="shared" si="116"/>
        <v>-6622.2000000000044</v>
      </c>
      <c r="BA211" s="225">
        <f t="shared" si="117"/>
        <v>0</v>
      </c>
      <c r="BB211" s="225">
        <f t="shared" si="118"/>
        <v>0</v>
      </c>
      <c r="BC211" s="225">
        <f t="shared" si="119"/>
        <v>0</v>
      </c>
      <c r="BD211" s="225">
        <f t="shared" si="120"/>
        <v>159.90000000000009</v>
      </c>
      <c r="BE211" s="225">
        <f t="shared" si="121"/>
        <v>-6462.3000000000047</v>
      </c>
      <c r="BF211" s="225">
        <f t="shared" si="122"/>
        <v>0</v>
      </c>
      <c r="BG211" s="225">
        <f t="shared" si="95"/>
        <v>0</v>
      </c>
      <c r="BH211" s="225">
        <f t="shared" si="96"/>
        <v>0</v>
      </c>
      <c r="BI211" s="225">
        <f t="shared" si="97"/>
        <v>3090.3599999999933</v>
      </c>
      <c r="BJ211" s="225">
        <f t="shared" si="98"/>
        <v>780</v>
      </c>
      <c r="BK211" s="225">
        <f t="shared" si="99"/>
        <v>0</v>
      </c>
      <c r="BL211" s="225">
        <f t="shared" si="100"/>
        <v>0</v>
      </c>
      <c r="BM211" s="225">
        <f t="shared" si="101"/>
        <v>551.84999999999991</v>
      </c>
      <c r="BN211" s="225">
        <f t="shared" si="123"/>
        <v>4422.2099999999937</v>
      </c>
      <c r="BO211" s="225">
        <f t="shared" si="102"/>
        <v>0</v>
      </c>
      <c r="BQ211" s="225"/>
      <c r="BR211" s="225"/>
    </row>
    <row r="212" spans="1:70">
      <c r="A212" s="168">
        <v>4300</v>
      </c>
      <c r="B212" s="2">
        <v>136778</v>
      </c>
      <c r="C212" s="2" t="s">
        <v>410</v>
      </c>
      <c r="F212" s="176">
        <v>0</v>
      </c>
      <c r="G212" s="176">
        <v>0</v>
      </c>
      <c r="H212" s="176">
        <v>0</v>
      </c>
      <c r="I212" s="176">
        <v>0</v>
      </c>
      <c r="J212" s="176">
        <v>0</v>
      </c>
      <c r="K212" s="176">
        <v>0</v>
      </c>
      <c r="L212" s="30">
        <f t="shared" si="125"/>
        <v>0</v>
      </c>
      <c r="M212" s="176">
        <f t="shared" si="126"/>
        <v>0</v>
      </c>
      <c r="O212" s="176">
        <v>0</v>
      </c>
      <c r="P212" s="176">
        <v>0</v>
      </c>
      <c r="Q212" s="176">
        <v>0</v>
      </c>
      <c r="R212" s="176">
        <v>0</v>
      </c>
      <c r="S212" s="176">
        <v>0</v>
      </c>
      <c r="T212" s="176">
        <v>0</v>
      </c>
      <c r="U212" s="176">
        <f t="shared" si="127"/>
        <v>0</v>
      </c>
      <c r="V212" s="176">
        <f t="shared" si="128"/>
        <v>0</v>
      </c>
      <c r="X212" s="247"/>
      <c r="Y212" s="176">
        <v>0</v>
      </c>
      <c r="Z212" s="176">
        <v>0</v>
      </c>
      <c r="AA212" s="176">
        <v>0</v>
      </c>
      <c r="AB212" s="176">
        <v>0</v>
      </c>
      <c r="AC212" s="176">
        <v>0</v>
      </c>
      <c r="AD212" s="176">
        <f t="shared" si="129"/>
        <v>0</v>
      </c>
      <c r="AE212" s="247">
        <f t="shared" si="130"/>
        <v>0</v>
      </c>
      <c r="AG212" s="247">
        <v>0</v>
      </c>
      <c r="AH212" s="247">
        <v>0</v>
      </c>
      <c r="AI212" s="247">
        <v>0</v>
      </c>
      <c r="AK212" s="247">
        <f t="shared" si="110"/>
        <v>0</v>
      </c>
      <c r="AL212" s="247">
        <f t="shared" si="111"/>
        <v>0</v>
      </c>
      <c r="AM212" s="247">
        <f t="shared" si="112"/>
        <v>0</v>
      </c>
      <c r="AO212" s="225">
        <v>0</v>
      </c>
      <c r="AP212" s="225">
        <v>0</v>
      </c>
      <c r="AQ212" s="225">
        <v>0</v>
      </c>
      <c r="AR212" s="225">
        <v>0</v>
      </c>
      <c r="AS212" s="225">
        <v>0</v>
      </c>
      <c r="AT212" s="225">
        <v>0</v>
      </c>
      <c r="AU212" s="225">
        <v>0</v>
      </c>
      <c r="AV212" s="225">
        <f t="shared" si="113"/>
        <v>0</v>
      </c>
      <c r="AX212" s="225">
        <f t="shared" si="114"/>
        <v>0</v>
      </c>
      <c r="AY212" s="225">
        <f t="shared" si="115"/>
        <v>0</v>
      </c>
      <c r="AZ212" s="225">
        <f t="shared" si="116"/>
        <v>0</v>
      </c>
      <c r="BA212" s="225">
        <f t="shared" si="117"/>
        <v>0</v>
      </c>
      <c r="BB212" s="225">
        <f t="shared" si="118"/>
        <v>0</v>
      </c>
      <c r="BC212" s="225">
        <f t="shared" si="119"/>
        <v>0</v>
      </c>
      <c r="BD212" s="225">
        <f t="shared" si="120"/>
        <v>0</v>
      </c>
      <c r="BE212" s="225">
        <f t="shared" si="121"/>
        <v>0</v>
      </c>
      <c r="BF212" s="225">
        <f t="shared" si="122"/>
        <v>0</v>
      </c>
      <c r="BG212" s="225">
        <f t="shared" si="95"/>
        <v>0</v>
      </c>
      <c r="BH212" s="225">
        <f t="shared" si="96"/>
        <v>0</v>
      </c>
      <c r="BI212" s="225">
        <f t="shared" si="97"/>
        <v>0</v>
      </c>
      <c r="BJ212" s="225">
        <f t="shared" si="98"/>
        <v>0</v>
      </c>
      <c r="BK212" s="225">
        <f t="shared" si="99"/>
        <v>0</v>
      </c>
      <c r="BL212" s="225">
        <f t="shared" si="100"/>
        <v>0</v>
      </c>
      <c r="BM212" s="225">
        <f t="shared" si="101"/>
        <v>0</v>
      </c>
      <c r="BN212" s="225">
        <f t="shared" si="123"/>
        <v>0</v>
      </c>
      <c r="BO212" s="225">
        <f t="shared" si="102"/>
        <v>0</v>
      </c>
      <c r="BQ212" s="225"/>
      <c r="BR212" s="225"/>
    </row>
    <row r="213" spans="1:70">
      <c r="A213" s="168">
        <v>2204</v>
      </c>
      <c r="B213" s="2">
        <v>147111</v>
      </c>
      <c r="C213" s="2" t="s">
        <v>411</v>
      </c>
      <c r="F213" s="176">
        <v>0</v>
      </c>
      <c r="G213" s="176">
        <v>0</v>
      </c>
      <c r="H213" s="176">
        <v>32007.3</v>
      </c>
      <c r="I213" s="176">
        <v>1950</v>
      </c>
      <c r="J213" s="176">
        <v>671.21052631578948</v>
      </c>
      <c r="K213" s="176">
        <v>0</v>
      </c>
      <c r="L213" s="30">
        <f t="shared" si="125"/>
        <v>34628.510526315789</v>
      </c>
      <c r="M213" s="176">
        <f t="shared" si="126"/>
        <v>27702.808421052632</v>
      </c>
      <c r="O213" s="176">
        <v>0</v>
      </c>
      <c r="P213" s="176">
        <v>0</v>
      </c>
      <c r="Q213" s="176">
        <v>13244.400000000001</v>
      </c>
      <c r="R213" s="176">
        <v>780</v>
      </c>
      <c r="S213" s="176">
        <v>298.31578947368422</v>
      </c>
      <c r="T213" s="176">
        <v>0</v>
      </c>
      <c r="U213" s="176">
        <f t="shared" si="127"/>
        <v>14322.715789473687</v>
      </c>
      <c r="V213" s="176">
        <f t="shared" si="128"/>
        <v>11458.172631578949</v>
      </c>
      <c r="X213" s="247"/>
      <c r="Y213" s="176">
        <v>0</v>
      </c>
      <c r="Z213" s="176">
        <v>21555.663157894738</v>
      </c>
      <c r="AA213" s="176">
        <v>1250.5263157894738</v>
      </c>
      <c r="AB213" s="176">
        <v>456.53185595567868</v>
      </c>
      <c r="AC213" s="176">
        <v>0</v>
      </c>
      <c r="AD213" s="176">
        <f t="shared" si="129"/>
        <v>23262.721329639891</v>
      </c>
      <c r="AE213" s="247">
        <f t="shared" si="130"/>
        <v>18610.177063711915</v>
      </c>
      <c r="AG213" s="247">
        <v>1277.25</v>
      </c>
      <c r="AH213" s="247">
        <v>651.29999999999995</v>
      </c>
      <c r="AI213" s="247">
        <v>860.58947368421059</v>
      </c>
      <c r="AK213" s="247">
        <f t="shared" si="110"/>
        <v>1021.8000000000001</v>
      </c>
      <c r="AL213" s="247">
        <f t="shared" si="111"/>
        <v>521.04</v>
      </c>
      <c r="AM213" s="247">
        <f t="shared" si="112"/>
        <v>688.47157894736847</v>
      </c>
      <c r="AO213" s="225">
        <v>0</v>
      </c>
      <c r="AP213" s="225">
        <v>0</v>
      </c>
      <c r="AQ213" s="225">
        <v>20970.300000000003</v>
      </c>
      <c r="AR213" s="225">
        <v>1560</v>
      </c>
      <c r="AS213" s="225">
        <v>522.0526315789474</v>
      </c>
      <c r="AT213" s="225">
        <v>0</v>
      </c>
      <c r="AU213" s="225">
        <v>842.4</v>
      </c>
      <c r="AV213" s="225">
        <f t="shared" si="113"/>
        <v>23894.752631578951</v>
      </c>
      <c r="AX213" s="225">
        <f t="shared" si="114"/>
        <v>0</v>
      </c>
      <c r="AY213" s="225">
        <f t="shared" si="115"/>
        <v>0</v>
      </c>
      <c r="AZ213" s="225">
        <f t="shared" si="116"/>
        <v>-11036.999999999996</v>
      </c>
      <c r="BA213" s="225">
        <f t="shared" si="117"/>
        <v>-390</v>
      </c>
      <c r="BB213" s="225">
        <f t="shared" si="118"/>
        <v>-149.15789473684208</v>
      </c>
      <c r="BC213" s="225">
        <f t="shared" si="119"/>
        <v>0</v>
      </c>
      <c r="BD213" s="225">
        <f t="shared" si="120"/>
        <v>-434.85</v>
      </c>
      <c r="BE213" s="225">
        <f t="shared" si="121"/>
        <v>-12011.007894736838</v>
      </c>
      <c r="BF213" s="225">
        <f t="shared" si="122"/>
        <v>0</v>
      </c>
      <c r="BG213" s="225">
        <f t="shared" si="95"/>
        <v>0</v>
      </c>
      <c r="BH213" s="225">
        <f t="shared" si="96"/>
        <v>0</v>
      </c>
      <c r="BI213" s="225">
        <f t="shared" si="97"/>
        <v>-4635.5399999999972</v>
      </c>
      <c r="BJ213" s="225">
        <f t="shared" si="98"/>
        <v>0</v>
      </c>
      <c r="BK213" s="225">
        <f t="shared" si="99"/>
        <v>-14.915789473684185</v>
      </c>
      <c r="BL213" s="225">
        <f t="shared" si="100"/>
        <v>0</v>
      </c>
      <c r="BM213" s="225">
        <f t="shared" si="101"/>
        <v>-179.40000000000009</v>
      </c>
      <c r="BN213" s="225">
        <f t="shared" si="123"/>
        <v>-4829.8557894736823</v>
      </c>
      <c r="BO213" s="225">
        <f t="shared" si="102"/>
        <v>0</v>
      </c>
      <c r="BQ213" s="225"/>
      <c r="BR213" s="225"/>
    </row>
    <row r="214" spans="1:70">
      <c r="A214" s="168">
        <v>4237</v>
      </c>
      <c r="B214" s="2">
        <v>151403</v>
      </c>
      <c r="C214" s="2" t="s">
        <v>148</v>
      </c>
      <c r="F214" s="176">
        <v>0</v>
      </c>
      <c r="G214" s="176">
        <v>0</v>
      </c>
      <c r="H214" s="176">
        <v>0</v>
      </c>
      <c r="I214" s="176">
        <v>0</v>
      </c>
      <c r="J214" s="176">
        <v>0</v>
      </c>
      <c r="K214" s="176">
        <v>0</v>
      </c>
      <c r="L214" s="30">
        <f t="shared" si="125"/>
        <v>0</v>
      </c>
      <c r="M214" s="176">
        <f t="shared" si="126"/>
        <v>0</v>
      </c>
      <c r="O214" s="176">
        <v>0</v>
      </c>
      <c r="P214" s="176">
        <v>0</v>
      </c>
      <c r="Q214" s="176">
        <v>0</v>
      </c>
      <c r="R214" s="176">
        <v>0</v>
      </c>
      <c r="S214" s="176">
        <v>0</v>
      </c>
      <c r="T214" s="176">
        <v>0</v>
      </c>
      <c r="U214" s="176">
        <f t="shared" si="127"/>
        <v>0</v>
      </c>
      <c r="V214" s="176">
        <f t="shared" si="128"/>
        <v>0</v>
      </c>
      <c r="X214" s="247"/>
      <c r="Y214" s="176">
        <v>0</v>
      </c>
      <c r="Z214" s="176">
        <v>0</v>
      </c>
      <c r="AA214" s="176">
        <v>0</v>
      </c>
      <c r="AB214" s="176">
        <v>0</v>
      </c>
      <c r="AC214" s="176">
        <v>0</v>
      </c>
      <c r="AD214" s="176">
        <f t="shared" si="129"/>
        <v>0</v>
      </c>
      <c r="AE214" s="247">
        <f t="shared" si="130"/>
        <v>0</v>
      </c>
      <c r="AG214" s="247">
        <v>0</v>
      </c>
      <c r="AH214" s="247">
        <v>0</v>
      </c>
      <c r="AI214" s="247">
        <v>0</v>
      </c>
      <c r="AK214" s="247">
        <f t="shared" si="110"/>
        <v>0</v>
      </c>
      <c r="AL214" s="247">
        <f t="shared" si="111"/>
        <v>0</v>
      </c>
      <c r="AM214" s="247">
        <f t="shared" si="112"/>
        <v>0</v>
      </c>
      <c r="AO214" s="225">
        <v>0</v>
      </c>
      <c r="AP214" s="225">
        <v>0</v>
      </c>
      <c r="AQ214" s="225">
        <v>0</v>
      </c>
      <c r="AR214" s="225">
        <v>0</v>
      </c>
      <c r="AS214" s="225">
        <v>0</v>
      </c>
      <c r="AT214" s="225">
        <v>0</v>
      </c>
      <c r="AU214" s="225">
        <v>0</v>
      </c>
      <c r="AV214" s="225">
        <f t="shared" si="113"/>
        <v>0</v>
      </c>
      <c r="AX214" s="225">
        <f t="shared" si="114"/>
        <v>0</v>
      </c>
      <c r="AY214" s="225">
        <f t="shared" si="115"/>
        <v>0</v>
      </c>
      <c r="AZ214" s="225">
        <f t="shared" si="116"/>
        <v>0</v>
      </c>
      <c r="BA214" s="225">
        <f t="shared" si="117"/>
        <v>0</v>
      </c>
      <c r="BB214" s="225">
        <f t="shared" si="118"/>
        <v>0</v>
      </c>
      <c r="BC214" s="225">
        <f t="shared" si="119"/>
        <v>0</v>
      </c>
      <c r="BD214" s="225">
        <f t="shared" si="120"/>
        <v>0</v>
      </c>
      <c r="BE214" s="225">
        <f t="shared" si="121"/>
        <v>0</v>
      </c>
      <c r="BF214" s="225">
        <f t="shared" si="122"/>
        <v>0</v>
      </c>
      <c r="BG214" s="225">
        <f t="shared" si="95"/>
        <v>0</v>
      </c>
      <c r="BH214" s="225">
        <f t="shared" si="96"/>
        <v>0</v>
      </c>
      <c r="BI214" s="225">
        <f t="shared" si="97"/>
        <v>0</v>
      </c>
      <c r="BJ214" s="225">
        <f t="shared" si="98"/>
        <v>0</v>
      </c>
      <c r="BK214" s="225">
        <f t="shared" si="99"/>
        <v>0</v>
      </c>
      <c r="BL214" s="225">
        <f t="shared" si="100"/>
        <v>0</v>
      </c>
      <c r="BM214" s="225">
        <f t="shared" si="101"/>
        <v>0</v>
      </c>
      <c r="BN214" s="225">
        <f t="shared" si="123"/>
        <v>0</v>
      </c>
      <c r="BO214" s="225">
        <f t="shared" si="102"/>
        <v>0</v>
      </c>
      <c r="BQ214" s="225"/>
      <c r="BR214" s="225"/>
    </row>
    <row r="215" spans="1:70">
      <c r="A215" s="168">
        <v>2098</v>
      </c>
      <c r="B215" s="2">
        <v>139011</v>
      </c>
      <c r="C215" s="2" t="s">
        <v>412</v>
      </c>
      <c r="F215" s="176">
        <v>0</v>
      </c>
      <c r="G215" s="176">
        <v>0</v>
      </c>
      <c r="H215" s="176">
        <v>28696.2</v>
      </c>
      <c r="I215" s="176">
        <v>2730</v>
      </c>
      <c r="J215" s="176">
        <v>0</v>
      </c>
      <c r="K215" s="176">
        <v>0</v>
      </c>
      <c r="L215" s="30">
        <f t="shared" si="125"/>
        <v>31426.2</v>
      </c>
      <c r="M215" s="176">
        <f t="shared" si="126"/>
        <v>25140.960000000003</v>
      </c>
      <c r="O215" s="176">
        <v>0</v>
      </c>
      <c r="P215" s="176">
        <v>0</v>
      </c>
      <c r="Q215" s="176">
        <v>23177.7</v>
      </c>
      <c r="R215" s="176">
        <v>2535</v>
      </c>
      <c r="S215" s="176">
        <v>969.52631578947376</v>
      </c>
      <c r="T215" s="176">
        <v>0</v>
      </c>
      <c r="U215" s="176">
        <f t="shared" si="127"/>
        <v>26682.226315789474</v>
      </c>
      <c r="V215" s="176">
        <f t="shared" si="128"/>
        <v>21345.781052631581</v>
      </c>
      <c r="X215" s="247"/>
      <c r="Y215" s="176">
        <v>0</v>
      </c>
      <c r="Z215" s="176">
        <v>23486.021052631582</v>
      </c>
      <c r="AA215" s="176">
        <v>2273.6842105263158</v>
      </c>
      <c r="AB215" s="176">
        <v>543.49030470914124</v>
      </c>
      <c r="AC215" s="176">
        <v>0</v>
      </c>
      <c r="AD215" s="176">
        <f t="shared" si="129"/>
        <v>26303.195567867042</v>
      </c>
      <c r="AE215" s="247">
        <f t="shared" si="130"/>
        <v>21042.556454293634</v>
      </c>
      <c r="AG215" s="247">
        <v>1308.45</v>
      </c>
      <c r="AH215" s="247">
        <v>982.8</v>
      </c>
      <c r="AI215" s="247">
        <v>1062.9473684210527</v>
      </c>
      <c r="AK215" s="247">
        <f t="shared" si="110"/>
        <v>1046.76</v>
      </c>
      <c r="AL215" s="247">
        <f t="shared" si="111"/>
        <v>786.24</v>
      </c>
      <c r="AM215" s="247">
        <f t="shared" si="112"/>
        <v>850.35789473684224</v>
      </c>
      <c r="AO215" s="225">
        <v>0</v>
      </c>
      <c r="AP215" s="225">
        <v>0</v>
      </c>
      <c r="AQ215" s="225">
        <v>28696.2</v>
      </c>
      <c r="AR215" s="225">
        <v>3120</v>
      </c>
      <c r="AS215" s="225">
        <v>1193.2631578947369</v>
      </c>
      <c r="AT215" s="225">
        <v>0</v>
      </c>
      <c r="AU215" s="225">
        <v>1386.4499999999998</v>
      </c>
      <c r="AV215" s="225">
        <f t="shared" si="113"/>
        <v>34395.913157894734</v>
      </c>
      <c r="AX215" s="225">
        <f t="shared" si="114"/>
        <v>0</v>
      </c>
      <c r="AY215" s="225">
        <f t="shared" si="115"/>
        <v>0</v>
      </c>
      <c r="AZ215" s="225">
        <f t="shared" si="116"/>
        <v>0</v>
      </c>
      <c r="BA215" s="225">
        <f t="shared" si="117"/>
        <v>390</v>
      </c>
      <c r="BB215" s="225">
        <f t="shared" si="118"/>
        <v>1193.2631578947369</v>
      </c>
      <c r="BC215" s="225">
        <f t="shared" si="119"/>
        <v>0</v>
      </c>
      <c r="BD215" s="225">
        <f t="shared" si="120"/>
        <v>77.999999999999773</v>
      </c>
      <c r="BE215" s="225">
        <f t="shared" si="121"/>
        <v>1661.2631578947367</v>
      </c>
      <c r="BF215" s="225">
        <f t="shared" si="122"/>
        <v>0</v>
      </c>
      <c r="BG215" s="225">
        <f t="shared" si="95"/>
        <v>0</v>
      </c>
      <c r="BH215" s="225">
        <f t="shared" si="96"/>
        <v>0</v>
      </c>
      <c r="BI215" s="225">
        <f t="shared" si="97"/>
        <v>5739.239999999998</v>
      </c>
      <c r="BJ215" s="225">
        <f t="shared" si="98"/>
        <v>936</v>
      </c>
      <c r="BK215" s="225">
        <f t="shared" si="99"/>
        <v>1193.2631578947369</v>
      </c>
      <c r="BL215" s="225">
        <f t="shared" si="100"/>
        <v>0</v>
      </c>
      <c r="BM215" s="225">
        <f t="shared" si="101"/>
        <v>339.68999999999983</v>
      </c>
      <c r="BN215" s="225">
        <f t="shared" si="123"/>
        <v>8208.1931578947351</v>
      </c>
      <c r="BO215" s="225">
        <f t="shared" si="102"/>
        <v>0</v>
      </c>
      <c r="BQ215" s="225"/>
      <c r="BR215" s="225"/>
    </row>
    <row r="216" spans="1:70">
      <c r="A216" s="168">
        <v>4307</v>
      </c>
      <c r="B216" s="2">
        <v>138136</v>
      </c>
      <c r="C216" s="2" t="s">
        <v>413</v>
      </c>
      <c r="F216" s="176">
        <v>0</v>
      </c>
      <c r="G216" s="176">
        <v>0</v>
      </c>
      <c r="H216" s="176">
        <v>0</v>
      </c>
      <c r="I216" s="176">
        <v>0</v>
      </c>
      <c r="J216" s="176">
        <v>0</v>
      </c>
      <c r="K216" s="176">
        <v>0</v>
      </c>
      <c r="L216" s="30">
        <f t="shared" si="125"/>
        <v>0</v>
      </c>
      <c r="M216" s="176">
        <f t="shared" si="126"/>
        <v>0</v>
      </c>
      <c r="O216" s="176">
        <v>0</v>
      </c>
      <c r="P216" s="176">
        <v>0</v>
      </c>
      <c r="Q216" s="176">
        <v>0</v>
      </c>
      <c r="R216" s="176">
        <v>0</v>
      </c>
      <c r="S216" s="176">
        <v>0</v>
      </c>
      <c r="T216" s="176">
        <v>0</v>
      </c>
      <c r="U216" s="176">
        <f t="shared" si="127"/>
        <v>0</v>
      </c>
      <c r="V216" s="176">
        <f t="shared" si="128"/>
        <v>0</v>
      </c>
      <c r="X216" s="247"/>
      <c r="Y216" s="176">
        <v>0</v>
      </c>
      <c r="Z216" s="176">
        <v>0</v>
      </c>
      <c r="AA216" s="176">
        <v>0</v>
      </c>
      <c r="AB216" s="176">
        <v>0</v>
      </c>
      <c r="AC216" s="176">
        <v>0</v>
      </c>
      <c r="AD216" s="176">
        <f t="shared" si="129"/>
        <v>0</v>
      </c>
      <c r="AE216" s="247">
        <f t="shared" si="130"/>
        <v>0</v>
      </c>
      <c r="AG216" s="247">
        <v>0</v>
      </c>
      <c r="AH216" s="247">
        <v>0</v>
      </c>
      <c r="AI216" s="247">
        <v>0</v>
      </c>
      <c r="AK216" s="247">
        <f t="shared" si="110"/>
        <v>0</v>
      </c>
      <c r="AL216" s="247">
        <f t="shared" si="111"/>
        <v>0</v>
      </c>
      <c r="AM216" s="247">
        <f t="shared" si="112"/>
        <v>0</v>
      </c>
      <c r="AO216" s="225">
        <v>0</v>
      </c>
      <c r="AP216" s="225">
        <v>0</v>
      </c>
      <c r="AQ216" s="225">
        <v>0</v>
      </c>
      <c r="AR216" s="225">
        <v>0</v>
      </c>
      <c r="AS216" s="225">
        <v>0</v>
      </c>
      <c r="AT216" s="225">
        <v>0</v>
      </c>
      <c r="AU216" s="225">
        <v>0</v>
      </c>
      <c r="AV216" s="225">
        <f t="shared" si="113"/>
        <v>0</v>
      </c>
      <c r="AX216" s="225">
        <f t="shared" si="114"/>
        <v>0</v>
      </c>
      <c r="AY216" s="225">
        <f t="shared" si="115"/>
        <v>0</v>
      </c>
      <c r="AZ216" s="225">
        <f t="shared" si="116"/>
        <v>0</v>
      </c>
      <c r="BA216" s="225">
        <f t="shared" si="117"/>
        <v>0</v>
      </c>
      <c r="BB216" s="225">
        <f t="shared" si="118"/>
        <v>0</v>
      </c>
      <c r="BC216" s="225">
        <f t="shared" si="119"/>
        <v>0</v>
      </c>
      <c r="BD216" s="225">
        <f t="shared" si="120"/>
        <v>0</v>
      </c>
      <c r="BE216" s="225">
        <f t="shared" si="121"/>
        <v>0</v>
      </c>
      <c r="BF216" s="225">
        <f t="shared" si="122"/>
        <v>0</v>
      </c>
      <c r="BG216" s="225">
        <f t="shared" si="95"/>
        <v>0</v>
      </c>
      <c r="BH216" s="225">
        <f t="shared" si="96"/>
        <v>0</v>
      </c>
      <c r="BI216" s="225">
        <f t="shared" si="97"/>
        <v>0</v>
      </c>
      <c r="BJ216" s="225">
        <f t="shared" si="98"/>
        <v>0</v>
      </c>
      <c r="BK216" s="225">
        <f t="shared" si="99"/>
        <v>0</v>
      </c>
      <c r="BL216" s="225">
        <f t="shared" si="100"/>
        <v>0</v>
      </c>
      <c r="BM216" s="225">
        <f t="shared" si="101"/>
        <v>0</v>
      </c>
      <c r="BN216" s="225">
        <f t="shared" si="123"/>
        <v>0</v>
      </c>
      <c r="BO216" s="225">
        <f t="shared" si="102"/>
        <v>0</v>
      </c>
      <c r="BQ216" s="225"/>
      <c r="BR216" s="225"/>
    </row>
    <row r="217" spans="1:70">
      <c r="A217" s="168">
        <v>7049</v>
      </c>
      <c r="B217" s="2">
        <v>144043</v>
      </c>
      <c r="C217" s="2" t="s">
        <v>414</v>
      </c>
      <c r="F217" s="176">
        <v>0</v>
      </c>
      <c r="G217" s="176">
        <v>0</v>
      </c>
      <c r="H217" s="176">
        <v>0</v>
      </c>
      <c r="I217" s="176">
        <v>0</v>
      </c>
      <c r="J217" s="176">
        <v>0</v>
      </c>
      <c r="K217" s="176">
        <v>0</v>
      </c>
      <c r="L217" s="30">
        <f t="shared" si="125"/>
        <v>0</v>
      </c>
      <c r="M217" s="176">
        <f t="shared" si="126"/>
        <v>0</v>
      </c>
      <c r="O217" s="176">
        <v>0</v>
      </c>
      <c r="P217" s="176">
        <v>0</v>
      </c>
      <c r="Q217" s="176">
        <v>0</v>
      </c>
      <c r="R217" s="176">
        <v>0</v>
      </c>
      <c r="S217" s="176">
        <v>0</v>
      </c>
      <c r="T217" s="176">
        <v>0</v>
      </c>
      <c r="U217" s="176">
        <f t="shared" si="127"/>
        <v>0</v>
      </c>
      <c r="V217" s="176">
        <f t="shared" si="128"/>
        <v>0</v>
      </c>
      <c r="Y217" s="176">
        <v>0</v>
      </c>
      <c r="Z217" s="176">
        <v>0</v>
      </c>
      <c r="AA217" s="176">
        <v>0</v>
      </c>
      <c r="AB217" s="176">
        <v>0</v>
      </c>
      <c r="AC217" s="176">
        <v>0</v>
      </c>
      <c r="AD217" s="176">
        <f t="shared" si="129"/>
        <v>0</v>
      </c>
      <c r="AE217" s="247">
        <f t="shared" si="130"/>
        <v>0</v>
      </c>
      <c r="AG217" s="247">
        <v>0</v>
      </c>
      <c r="AH217" s="247">
        <v>0</v>
      </c>
      <c r="AI217" s="247">
        <v>0</v>
      </c>
      <c r="AK217" s="247">
        <f t="shared" si="110"/>
        <v>0</v>
      </c>
      <c r="AL217" s="247">
        <f t="shared" si="111"/>
        <v>0</v>
      </c>
      <c r="AM217" s="247">
        <f t="shared" si="112"/>
        <v>0</v>
      </c>
      <c r="AO217" s="225">
        <v>0</v>
      </c>
      <c r="AP217" s="225">
        <v>0</v>
      </c>
      <c r="AQ217" s="225">
        <v>0</v>
      </c>
      <c r="AR217" s="225">
        <v>0</v>
      </c>
      <c r="AS217" s="225">
        <v>0</v>
      </c>
      <c r="AT217" s="225">
        <v>0</v>
      </c>
      <c r="AU217" s="225">
        <v>0</v>
      </c>
      <c r="AV217" s="225">
        <f t="shared" si="113"/>
        <v>0</v>
      </c>
      <c r="AX217" s="225">
        <f t="shared" si="114"/>
        <v>0</v>
      </c>
      <c r="AY217" s="225">
        <f t="shared" si="115"/>
        <v>0</v>
      </c>
      <c r="AZ217" s="225">
        <f t="shared" si="116"/>
        <v>0</v>
      </c>
      <c r="BA217" s="225">
        <f t="shared" si="117"/>
        <v>0</v>
      </c>
      <c r="BB217" s="225">
        <f t="shared" si="118"/>
        <v>0</v>
      </c>
      <c r="BC217" s="225">
        <f t="shared" si="119"/>
        <v>0</v>
      </c>
      <c r="BD217" s="225">
        <f t="shared" si="120"/>
        <v>0</v>
      </c>
      <c r="BE217" s="225">
        <f t="shared" si="121"/>
        <v>0</v>
      </c>
      <c r="BF217" s="225">
        <f t="shared" si="122"/>
        <v>0</v>
      </c>
      <c r="BG217" s="225">
        <f t="shared" si="95"/>
        <v>0</v>
      </c>
      <c r="BH217" s="225">
        <f t="shared" si="96"/>
        <v>0</v>
      </c>
      <c r="BI217" s="225">
        <f t="shared" si="97"/>
        <v>0</v>
      </c>
      <c r="BJ217" s="225">
        <f t="shared" si="98"/>
        <v>0</v>
      </c>
      <c r="BK217" s="225">
        <f t="shared" si="99"/>
        <v>0</v>
      </c>
      <c r="BL217" s="225">
        <f t="shared" si="100"/>
        <v>0</v>
      </c>
      <c r="BM217" s="225">
        <f t="shared" si="101"/>
        <v>0</v>
      </c>
      <c r="BN217" s="225">
        <f t="shared" si="123"/>
        <v>0</v>
      </c>
      <c r="BO217" s="225">
        <f t="shared" si="102"/>
        <v>0</v>
      </c>
      <c r="BQ217" s="225"/>
      <c r="BR217" s="225"/>
    </row>
    <row r="218" spans="1:70">
      <c r="A218" s="168">
        <v>5201</v>
      </c>
      <c r="B218" s="2">
        <v>137155</v>
      </c>
      <c r="C218" s="2" t="s">
        <v>415</v>
      </c>
      <c r="F218" s="176">
        <v>0</v>
      </c>
      <c r="G218" s="176">
        <v>0</v>
      </c>
      <c r="H218" s="176">
        <v>29799.9</v>
      </c>
      <c r="I218" s="176">
        <v>585</v>
      </c>
      <c r="J218" s="176">
        <v>0</v>
      </c>
      <c r="K218" s="176">
        <v>0</v>
      </c>
      <c r="L218" s="30">
        <f t="shared" si="125"/>
        <v>30384.9</v>
      </c>
      <c r="M218" s="176">
        <f t="shared" si="126"/>
        <v>24307.920000000002</v>
      </c>
      <c r="O218" s="176">
        <v>0</v>
      </c>
      <c r="P218" s="176">
        <v>0</v>
      </c>
      <c r="Q218" s="176">
        <v>27592.5</v>
      </c>
      <c r="R218" s="176">
        <v>0</v>
      </c>
      <c r="S218" s="176">
        <v>0</v>
      </c>
      <c r="T218" s="176">
        <v>0</v>
      </c>
      <c r="U218" s="176">
        <f t="shared" si="127"/>
        <v>27592.5</v>
      </c>
      <c r="V218" s="176">
        <f t="shared" si="128"/>
        <v>22074</v>
      </c>
      <c r="Y218" s="176">
        <v>0</v>
      </c>
      <c r="Z218" s="176">
        <v>25416.378947368419</v>
      </c>
      <c r="AA218" s="176">
        <v>341.05263157894734</v>
      </c>
      <c r="AB218" s="176">
        <v>65.21883656509695</v>
      </c>
      <c r="AC218" s="176">
        <v>0</v>
      </c>
      <c r="AD218" s="176">
        <f t="shared" si="129"/>
        <v>25822.650415512464</v>
      </c>
      <c r="AE218" s="247">
        <f t="shared" si="130"/>
        <v>20658.120332409973</v>
      </c>
      <c r="AG218" s="247">
        <v>0</v>
      </c>
      <c r="AH218" s="247">
        <v>15.6</v>
      </c>
      <c r="AI218" s="247">
        <v>4.5473684210526315</v>
      </c>
      <c r="AK218" s="247">
        <f t="shared" si="110"/>
        <v>0</v>
      </c>
      <c r="AL218" s="247">
        <f t="shared" si="111"/>
        <v>12.48</v>
      </c>
      <c r="AM218" s="247">
        <f t="shared" si="112"/>
        <v>3.6378947368421053</v>
      </c>
      <c r="AO218" s="225">
        <v>0</v>
      </c>
      <c r="AP218" s="225">
        <v>0</v>
      </c>
      <c r="AQ218" s="225">
        <v>27592.5</v>
      </c>
      <c r="AR218" s="225">
        <v>195</v>
      </c>
      <c r="AS218" s="225">
        <v>74.578947368421055</v>
      </c>
      <c r="AT218" s="225">
        <v>0</v>
      </c>
      <c r="AU218" s="225">
        <v>15.6</v>
      </c>
      <c r="AV218" s="225">
        <f t="shared" si="113"/>
        <v>27877.678947368418</v>
      </c>
      <c r="AX218" s="225">
        <f t="shared" si="114"/>
        <v>0</v>
      </c>
      <c r="AY218" s="225">
        <f t="shared" si="115"/>
        <v>0</v>
      </c>
      <c r="AZ218" s="225">
        <f t="shared" si="116"/>
        <v>-2207.4000000000015</v>
      </c>
      <c r="BA218" s="225">
        <f t="shared" si="117"/>
        <v>-390</v>
      </c>
      <c r="BB218" s="225">
        <f t="shared" si="118"/>
        <v>74.578947368421055</v>
      </c>
      <c r="BC218" s="225">
        <f t="shared" si="119"/>
        <v>0</v>
      </c>
      <c r="BD218" s="225">
        <f t="shared" si="120"/>
        <v>15.6</v>
      </c>
      <c r="BE218" s="225">
        <f t="shared" si="121"/>
        <v>-2507.2210526315803</v>
      </c>
      <c r="BF218" s="225">
        <f t="shared" si="122"/>
        <v>0</v>
      </c>
      <c r="BG218" s="225">
        <f t="shared" si="95"/>
        <v>0</v>
      </c>
      <c r="BH218" s="225">
        <f t="shared" si="96"/>
        <v>0</v>
      </c>
      <c r="BI218" s="225">
        <f t="shared" si="97"/>
        <v>3752.5799999999981</v>
      </c>
      <c r="BJ218" s="225">
        <f t="shared" si="98"/>
        <v>-273</v>
      </c>
      <c r="BK218" s="225">
        <f t="shared" si="99"/>
        <v>74.578947368421055</v>
      </c>
      <c r="BL218" s="225">
        <f t="shared" si="100"/>
        <v>0</v>
      </c>
      <c r="BM218" s="225">
        <f t="shared" si="101"/>
        <v>15.6</v>
      </c>
      <c r="BN218" s="225">
        <f t="shared" si="123"/>
        <v>3569.7589473684193</v>
      </c>
      <c r="BO218" s="225">
        <f t="shared" si="102"/>
        <v>0</v>
      </c>
      <c r="BQ218" s="225"/>
      <c r="BR218" s="225"/>
    </row>
    <row r="219" spans="1:70">
      <c r="A219" s="168">
        <v>1111</v>
      </c>
      <c r="B219" s="2">
        <v>142071</v>
      </c>
      <c r="C219" s="2" t="s">
        <v>416</v>
      </c>
      <c r="F219" s="176">
        <v>0</v>
      </c>
      <c r="G219" s="176">
        <v>0</v>
      </c>
      <c r="H219" s="176">
        <v>0</v>
      </c>
      <c r="I219" s="176">
        <v>0</v>
      </c>
      <c r="J219" s="176">
        <v>0</v>
      </c>
      <c r="K219" s="176">
        <v>0</v>
      </c>
      <c r="L219" s="30">
        <f t="shared" si="125"/>
        <v>0</v>
      </c>
      <c r="M219" s="176">
        <f t="shared" si="126"/>
        <v>0</v>
      </c>
      <c r="O219" s="176">
        <v>0</v>
      </c>
      <c r="P219" s="176">
        <v>0</v>
      </c>
      <c r="Q219" s="176">
        <v>0</v>
      </c>
      <c r="R219" s="176">
        <v>0</v>
      </c>
      <c r="S219" s="176">
        <v>0</v>
      </c>
      <c r="T219" s="176">
        <v>0</v>
      </c>
      <c r="U219" s="176">
        <f t="shared" si="127"/>
        <v>0</v>
      </c>
      <c r="V219" s="176">
        <f t="shared" si="128"/>
        <v>0</v>
      </c>
      <c r="Y219" s="176">
        <v>0</v>
      </c>
      <c r="Z219" s="176">
        <v>0</v>
      </c>
      <c r="AA219" s="176">
        <v>0</v>
      </c>
      <c r="AB219" s="176">
        <v>0</v>
      </c>
      <c r="AC219" s="176">
        <v>0</v>
      </c>
      <c r="AD219" s="176">
        <f t="shared" si="129"/>
        <v>0</v>
      </c>
      <c r="AE219" s="247">
        <f t="shared" si="130"/>
        <v>0</v>
      </c>
      <c r="AG219" s="247">
        <v>0</v>
      </c>
      <c r="AH219" s="247">
        <v>0</v>
      </c>
      <c r="AI219" s="247">
        <v>0</v>
      </c>
      <c r="AK219" s="247">
        <f t="shared" si="110"/>
        <v>0</v>
      </c>
      <c r="AL219" s="247">
        <f t="shared" si="111"/>
        <v>0</v>
      </c>
      <c r="AM219" s="247">
        <f t="shared" si="112"/>
        <v>0</v>
      </c>
      <c r="AO219" s="225">
        <v>0</v>
      </c>
      <c r="AP219" s="225">
        <v>0</v>
      </c>
      <c r="AQ219" s="225">
        <v>0</v>
      </c>
      <c r="AR219" s="225">
        <v>0</v>
      </c>
      <c r="AS219" s="225">
        <v>0</v>
      </c>
      <c r="AT219" s="225">
        <v>0</v>
      </c>
      <c r="AU219" s="225">
        <v>0</v>
      </c>
      <c r="AV219" s="225">
        <f t="shared" si="113"/>
        <v>0</v>
      </c>
      <c r="AX219" s="225">
        <f t="shared" si="114"/>
        <v>0</v>
      </c>
      <c r="AY219" s="225">
        <f t="shared" si="115"/>
        <v>0</v>
      </c>
      <c r="AZ219" s="225">
        <f t="shared" si="116"/>
        <v>0</v>
      </c>
      <c r="BA219" s="225">
        <f t="shared" si="117"/>
        <v>0</v>
      </c>
      <c r="BB219" s="225">
        <f t="shared" si="118"/>
        <v>0</v>
      </c>
      <c r="BC219" s="225">
        <f t="shared" si="119"/>
        <v>0</v>
      </c>
      <c r="BD219" s="225">
        <f t="shared" si="120"/>
        <v>0</v>
      </c>
      <c r="BE219" s="225">
        <f t="shared" si="121"/>
        <v>0</v>
      </c>
      <c r="BF219" s="225">
        <f t="shared" si="122"/>
        <v>0</v>
      </c>
      <c r="BG219" s="225">
        <f t="shared" si="95"/>
        <v>0</v>
      </c>
      <c r="BH219" s="225">
        <f t="shared" si="96"/>
        <v>0</v>
      </c>
      <c r="BI219" s="225">
        <f t="shared" si="97"/>
        <v>0</v>
      </c>
      <c r="BJ219" s="225">
        <f t="shared" si="98"/>
        <v>0</v>
      </c>
      <c r="BK219" s="225">
        <f t="shared" si="99"/>
        <v>0</v>
      </c>
      <c r="BL219" s="225">
        <f t="shared" si="100"/>
        <v>0</v>
      </c>
      <c r="BM219" s="225">
        <f t="shared" si="101"/>
        <v>0</v>
      </c>
      <c r="BN219" s="225">
        <f t="shared" si="123"/>
        <v>0</v>
      </c>
      <c r="BO219" s="225">
        <f t="shared" si="102"/>
        <v>0</v>
      </c>
      <c r="BQ219" s="225"/>
      <c r="BR219" s="225"/>
    </row>
    <row r="220" spans="1:70">
      <c r="A220" s="270">
        <v>2246</v>
      </c>
      <c r="B220" s="271">
        <v>151709</v>
      </c>
      <c r="C220" s="271" t="s">
        <v>22</v>
      </c>
      <c r="F220" s="176">
        <v>0</v>
      </c>
      <c r="G220" s="176">
        <v>0</v>
      </c>
      <c r="H220" s="176">
        <v>0</v>
      </c>
      <c r="I220" s="176">
        <v>0</v>
      </c>
      <c r="J220" s="176">
        <v>0</v>
      </c>
      <c r="K220" s="176">
        <v>0</v>
      </c>
      <c r="L220" s="30">
        <f t="shared" si="125"/>
        <v>0</v>
      </c>
      <c r="M220" s="176">
        <f t="shared" si="126"/>
        <v>0</v>
      </c>
      <c r="O220" s="176">
        <v>0</v>
      </c>
      <c r="P220" s="176">
        <v>0</v>
      </c>
      <c r="Q220" s="176">
        <v>0</v>
      </c>
      <c r="R220" s="176">
        <v>0</v>
      </c>
      <c r="S220" s="176">
        <v>0</v>
      </c>
      <c r="T220" s="176">
        <v>0</v>
      </c>
      <c r="U220" s="176">
        <f t="shared" si="127"/>
        <v>0</v>
      </c>
      <c r="V220" s="176">
        <f t="shared" si="128"/>
        <v>0</v>
      </c>
      <c r="Y220" s="176">
        <v>0</v>
      </c>
      <c r="Z220" s="176">
        <v>0</v>
      </c>
      <c r="AA220" s="176">
        <v>0</v>
      </c>
      <c r="AB220" s="176">
        <v>0</v>
      </c>
      <c r="AC220" s="176">
        <v>0</v>
      </c>
      <c r="AD220" s="176">
        <f t="shared" si="129"/>
        <v>0</v>
      </c>
      <c r="AE220" s="247">
        <f t="shared" si="130"/>
        <v>0</v>
      </c>
      <c r="AG220" s="247">
        <v>0</v>
      </c>
      <c r="AH220" s="247">
        <v>0</v>
      </c>
      <c r="AI220" s="247">
        <v>0</v>
      </c>
      <c r="AK220" s="247">
        <f t="shared" si="110"/>
        <v>0</v>
      </c>
      <c r="AL220" s="247">
        <f t="shared" si="111"/>
        <v>0</v>
      </c>
      <c r="AM220" s="247">
        <f t="shared" si="112"/>
        <v>0</v>
      </c>
      <c r="AO220" s="225">
        <v>0</v>
      </c>
      <c r="AP220" s="225">
        <v>0</v>
      </c>
      <c r="AQ220" s="225">
        <v>0</v>
      </c>
      <c r="AR220" s="225">
        <v>0</v>
      </c>
      <c r="AS220" s="225">
        <v>0</v>
      </c>
      <c r="AT220" s="225">
        <v>0</v>
      </c>
      <c r="AU220" s="225">
        <v>0</v>
      </c>
      <c r="AV220" s="225">
        <f t="shared" si="113"/>
        <v>0</v>
      </c>
      <c r="AX220" s="225">
        <f t="shared" si="114"/>
        <v>0</v>
      </c>
      <c r="AY220" s="225">
        <f t="shared" si="115"/>
        <v>0</v>
      </c>
      <c r="AZ220" s="225">
        <f t="shared" si="116"/>
        <v>0</v>
      </c>
      <c r="BA220" s="225">
        <f t="shared" si="117"/>
        <v>0</v>
      </c>
      <c r="BB220" s="225">
        <f t="shared" si="118"/>
        <v>0</v>
      </c>
      <c r="BC220" s="225">
        <f t="shared" si="119"/>
        <v>0</v>
      </c>
      <c r="BD220" s="225">
        <f t="shared" si="120"/>
        <v>0</v>
      </c>
      <c r="BE220" s="225">
        <f t="shared" si="121"/>
        <v>0</v>
      </c>
      <c r="BF220" s="225">
        <f t="shared" si="122"/>
        <v>0</v>
      </c>
      <c r="BG220" s="225">
        <f t="shared" si="95"/>
        <v>0</v>
      </c>
      <c r="BH220" s="225">
        <f t="shared" si="96"/>
        <v>0</v>
      </c>
      <c r="BI220" s="225">
        <f t="shared" si="97"/>
        <v>0</v>
      </c>
      <c r="BJ220" s="225">
        <f t="shared" si="98"/>
        <v>0</v>
      </c>
      <c r="BK220" s="225">
        <f t="shared" si="99"/>
        <v>0</v>
      </c>
      <c r="BL220" s="225">
        <f t="shared" si="100"/>
        <v>0</v>
      </c>
      <c r="BM220" s="225">
        <f t="shared" si="101"/>
        <v>0</v>
      </c>
      <c r="BN220" s="225">
        <f t="shared" si="123"/>
        <v>0</v>
      </c>
      <c r="BO220" s="225">
        <f t="shared" si="102"/>
        <v>0</v>
      </c>
      <c r="BQ220" s="225"/>
      <c r="BR220" s="225"/>
    </row>
    <row r="221" spans="1:70">
      <c r="A221" s="168">
        <v>2064</v>
      </c>
      <c r="B221" s="2">
        <v>139183</v>
      </c>
      <c r="C221" s="2" t="s">
        <v>417</v>
      </c>
      <c r="F221" s="176">
        <v>0</v>
      </c>
      <c r="G221" s="176">
        <v>0</v>
      </c>
      <c r="H221" s="176">
        <v>35318.400000000001</v>
      </c>
      <c r="I221" s="176">
        <v>2925</v>
      </c>
      <c r="J221" s="176">
        <v>298.31578947368422</v>
      </c>
      <c r="K221" s="176">
        <v>0</v>
      </c>
      <c r="L221" s="30">
        <f t="shared" si="125"/>
        <v>38541.715789473688</v>
      </c>
      <c r="M221" s="176">
        <f t="shared" si="126"/>
        <v>30833.372631578954</v>
      </c>
      <c r="O221" s="176">
        <v>0</v>
      </c>
      <c r="P221" s="176">
        <v>0</v>
      </c>
      <c r="Q221" s="176">
        <v>26488.799999999999</v>
      </c>
      <c r="R221" s="176">
        <v>1560</v>
      </c>
      <c r="S221" s="176">
        <v>596.63157894736844</v>
      </c>
      <c r="T221" s="176">
        <v>0</v>
      </c>
      <c r="U221" s="176">
        <f t="shared" si="127"/>
        <v>28645.431578947369</v>
      </c>
      <c r="V221" s="176">
        <f t="shared" si="128"/>
        <v>22916.345263157898</v>
      </c>
      <c r="Y221" s="176">
        <v>0</v>
      </c>
      <c r="Z221" s="176">
        <v>28311.915789473682</v>
      </c>
      <c r="AA221" s="176">
        <v>2103.1578947368421</v>
      </c>
      <c r="AB221" s="176">
        <v>565.22991689750688</v>
      </c>
      <c r="AC221" s="176">
        <v>0</v>
      </c>
      <c r="AD221" s="176">
        <f t="shared" si="129"/>
        <v>30980.303601108033</v>
      </c>
      <c r="AE221" s="247">
        <f t="shared" si="130"/>
        <v>24784.242880886428</v>
      </c>
      <c r="AG221" s="247">
        <v>1131</v>
      </c>
      <c r="AH221" s="247">
        <v>1095.8999999999999</v>
      </c>
      <c r="AI221" s="247">
        <v>995.30526315789473</v>
      </c>
      <c r="AK221" s="247">
        <f t="shared" si="110"/>
        <v>904.80000000000007</v>
      </c>
      <c r="AL221" s="247">
        <f t="shared" si="111"/>
        <v>876.71999999999991</v>
      </c>
      <c r="AM221" s="247">
        <f t="shared" si="112"/>
        <v>796.24421052631578</v>
      </c>
      <c r="AO221" s="225">
        <v>0</v>
      </c>
      <c r="AP221" s="225">
        <v>0</v>
      </c>
      <c r="AQ221" s="225">
        <v>26488.799999999999</v>
      </c>
      <c r="AR221" s="225">
        <v>2145</v>
      </c>
      <c r="AS221" s="225">
        <v>820.36842105263156</v>
      </c>
      <c r="AT221" s="225">
        <v>0</v>
      </c>
      <c r="AU221" s="225">
        <v>1095.8999999999999</v>
      </c>
      <c r="AV221" s="225">
        <f t="shared" si="113"/>
        <v>30550.068421052631</v>
      </c>
      <c r="AX221" s="225">
        <f t="shared" si="114"/>
        <v>0</v>
      </c>
      <c r="AY221" s="225">
        <f t="shared" si="115"/>
        <v>0</v>
      </c>
      <c r="AZ221" s="225">
        <f t="shared" si="116"/>
        <v>-8829.6000000000022</v>
      </c>
      <c r="BA221" s="225">
        <f t="shared" si="117"/>
        <v>-780</v>
      </c>
      <c r="BB221" s="225">
        <f t="shared" si="118"/>
        <v>522.05263157894728</v>
      </c>
      <c r="BC221" s="225">
        <f t="shared" si="119"/>
        <v>0</v>
      </c>
      <c r="BD221" s="225">
        <f t="shared" si="120"/>
        <v>-35.100000000000136</v>
      </c>
      <c r="BE221" s="225">
        <f t="shared" si="121"/>
        <v>-9122.6473684210559</v>
      </c>
      <c r="BF221" s="225">
        <f t="shared" si="122"/>
        <v>0</v>
      </c>
      <c r="BG221" s="225">
        <f t="shared" si="95"/>
        <v>0</v>
      </c>
      <c r="BH221" s="225">
        <f t="shared" si="96"/>
        <v>0</v>
      </c>
      <c r="BI221" s="225">
        <f t="shared" si="97"/>
        <v>-1765.9200000000019</v>
      </c>
      <c r="BJ221" s="225">
        <f t="shared" si="98"/>
        <v>-195</v>
      </c>
      <c r="BK221" s="225">
        <f t="shared" si="99"/>
        <v>581.71578947368414</v>
      </c>
      <c r="BL221" s="225">
        <f t="shared" si="100"/>
        <v>0</v>
      </c>
      <c r="BM221" s="225">
        <f t="shared" si="101"/>
        <v>191.0999999999998</v>
      </c>
      <c r="BN221" s="225">
        <f t="shared" si="123"/>
        <v>-1188.1042105263177</v>
      </c>
      <c r="BO221" s="225">
        <f t="shared" si="102"/>
        <v>0</v>
      </c>
      <c r="BQ221" s="225"/>
      <c r="BR221" s="225"/>
    </row>
    <row r="222" spans="1:70">
      <c r="A222" s="168">
        <v>2018</v>
      </c>
      <c r="B222" s="2">
        <v>149872</v>
      </c>
      <c r="C222" s="2" t="s">
        <v>418</v>
      </c>
      <c r="F222" s="176">
        <v>0</v>
      </c>
      <c r="G222" s="176">
        <v>26551.200000000001</v>
      </c>
      <c r="H222" s="176">
        <v>56288.700000000004</v>
      </c>
      <c r="I222" s="176">
        <v>6045</v>
      </c>
      <c r="J222" s="176">
        <v>0</v>
      </c>
      <c r="K222" s="176">
        <v>0</v>
      </c>
      <c r="L222" s="30">
        <f t="shared" si="125"/>
        <v>88884.900000000009</v>
      </c>
      <c r="M222" s="176">
        <f t="shared" si="126"/>
        <v>71107.920000000013</v>
      </c>
      <c r="O222" s="176">
        <v>0</v>
      </c>
      <c r="P222" s="176">
        <v>24891.75</v>
      </c>
      <c r="Q222" s="176">
        <v>34214.700000000004</v>
      </c>
      <c r="R222" s="176">
        <v>5850</v>
      </c>
      <c r="S222" s="176">
        <v>0</v>
      </c>
      <c r="T222" s="176">
        <v>0</v>
      </c>
      <c r="U222" s="176">
        <f t="shared" si="127"/>
        <v>64956.450000000004</v>
      </c>
      <c r="V222" s="176">
        <f t="shared" si="128"/>
        <v>51965.16</v>
      </c>
      <c r="Y222" s="176">
        <v>22735.136842105265</v>
      </c>
      <c r="Z222" s="176">
        <v>39250.610526315788</v>
      </c>
      <c r="AA222" s="176">
        <v>4945.2631578947367</v>
      </c>
      <c r="AB222" s="176">
        <v>0</v>
      </c>
      <c r="AC222" s="176">
        <v>0</v>
      </c>
      <c r="AD222" s="176">
        <f t="shared" si="129"/>
        <v>66931.010526315789</v>
      </c>
      <c r="AE222" s="247">
        <f t="shared" si="130"/>
        <v>53544.808421052636</v>
      </c>
      <c r="AG222" s="247">
        <v>6477.9000000000005</v>
      </c>
      <c r="AH222" s="247">
        <v>4383.5999999999995</v>
      </c>
      <c r="AI222" s="247">
        <v>4276.8</v>
      </c>
      <c r="AK222" s="247">
        <f t="shared" si="110"/>
        <v>5182.3200000000006</v>
      </c>
      <c r="AL222" s="247">
        <f t="shared" si="111"/>
        <v>3506.8799999999997</v>
      </c>
      <c r="AM222" s="247">
        <f t="shared" si="112"/>
        <v>3421.4400000000005</v>
      </c>
      <c r="AO222" s="225">
        <v>0</v>
      </c>
      <c r="AP222" s="225">
        <v>26551.200000000001</v>
      </c>
      <c r="AQ222" s="225">
        <v>51873.9</v>
      </c>
      <c r="AR222" s="225">
        <v>8385</v>
      </c>
      <c r="AS222" s="225">
        <v>149.15789473684211</v>
      </c>
      <c r="AT222" s="225">
        <v>0</v>
      </c>
      <c r="AU222" s="225">
        <v>5463.9000000000005</v>
      </c>
      <c r="AV222" s="225">
        <f t="shared" si="113"/>
        <v>92423.15789473684</v>
      </c>
      <c r="AX222" s="225">
        <f t="shared" si="114"/>
        <v>0</v>
      </c>
      <c r="AY222" s="225">
        <f t="shared" si="115"/>
        <v>0</v>
      </c>
      <c r="AZ222" s="225">
        <f t="shared" si="116"/>
        <v>-4414.8000000000029</v>
      </c>
      <c r="BA222" s="225">
        <f t="shared" si="117"/>
        <v>2340</v>
      </c>
      <c r="BB222" s="225">
        <f t="shared" si="118"/>
        <v>149.15789473684211</v>
      </c>
      <c r="BC222" s="225">
        <f t="shared" si="119"/>
        <v>0</v>
      </c>
      <c r="BD222" s="225">
        <f t="shared" si="120"/>
        <v>-1014</v>
      </c>
      <c r="BE222" s="225">
        <f t="shared" si="121"/>
        <v>-2939.6421052631608</v>
      </c>
      <c r="BF222" s="225">
        <f t="shared" si="122"/>
        <v>0</v>
      </c>
      <c r="BG222" s="225">
        <f t="shared" si="95"/>
        <v>0</v>
      </c>
      <c r="BH222" s="225">
        <f t="shared" si="96"/>
        <v>5310.239999999998</v>
      </c>
      <c r="BI222" s="225">
        <f t="shared" si="97"/>
        <v>6842.9399999999951</v>
      </c>
      <c r="BJ222" s="225">
        <f t="shared" si="98"/>
        <v>3549</v>
      </c>
      <c r="BK222" s="225">
        <f t="shared" si="99"/>
        <v>149.15789473684211</v>
      </c>
      <c r="BL222" s="225">
        <f t="shared" si="100"/>
        <v>0</v>
      </c>
      <c r="BM222" s="225">
        <f t="shared" si="101"/>
        <v>281.57999999999993</v>
      </c>
      <c r="BN222" s="225">
        <f t="shared" si="123"/>
        <v>16132.917894736835</v>
      </c>
      <c r="BO222" s="225">
        <f t="shared" si="102"/>
        <v>0</v>
      </c>
      <c r="BQ222" s="225"/>
      <c r="BR222" s="225"/>
    </row>
    <row r="223" spans="1:70">
      <c r="A223" s="168">
        <v>2167</v>
      </c>
      <c r="B223" s="2">
        <v>142888</v>
      </c>
      <c r="C223" s="2" t="s">
        <v>419</v>
      </c>
      <c r="F223" s="176">
        <v>0</v>
      </c>
      <c r="G223" s="176">
        <v>0</v>
      </c>
      <c r="H223" s="176">
        <v>0</v>
      </c>
      <c r="I223" s="176">
        <v>0</v>
      </c>
      <c r="J223" s="176">
        <v>0</v>
      </c>
      <c r="K223" s="176">
        <v>0</v>
      </c>
      <c r="L223" s="30">
        <f t="shared" si="125"/>
        <v>0</v>
      </c>
      <c r="M223" s="176">
        <f t="shared" si="126"/>
        <v>0</v>
      </c>
      <c r="O223" s="176">
        <v>0</v>
      </c>
      <c r="P223" s="176">
        <v>0</v>
      </c>
      <c r="Q223" s="176">
        <v>0</v>
      </c>
      <c r="R223" s="176">
        <v>0</v>
      </c>
      <c r="S223" s="176">
        <v>0</v>
      </c>
      <c r="T223" s="176">
        <v>0</v>
      </c>
      <c r="U223" s="176">
        <f t="shared" si="127"/>
        <v>0</v>
      </c>
      <c r="V223" s="176">
        <f t="shared" si="128"/>
        <v>0</v>
      </c>
      <c r="Y223" s="176">
        <v>0</v>
      </c>
      <c r="Z223" s="176">
        <v>0</v>
      </c>
      <c r="AA223" s="176">
        <v>0</v>
      </c>
      <c r="AB223" s="176">
        <v>0</v>
      </c>
      <c r="AC223" s="176">
        <v>0</v>
      </c>
      <c r="AD223" s="176">
        <f t="shared" si="129"/>
        <v>0</v>
      </c>
      <c r="AE223" s="247">
        <f t="shared" si="130"/>
        <v>0</v>
      </c>
      <c r="AG223" s="247">
        <v>0</v>
      </c>
      <c r="AH223" s="247">
        <v>0</v>
      </c>
      <c r="AI223" s="247">
        <v>0</v>
      </c>
      <c r="AK223" s="247">
        <f t="shared" si="110"/>
        <v>0</v>
      </c>
      <c r="AL223" s="247">
        <f t="shared" si="111"/>
        <v>0</v>
      </c>
      <c r="AM223" s="247">
        <f t="shared" si="112"/>
        <v>0</v>
      </c>
      <c r="AO223" s="225">
        <v>0</v>
      </c>
      <c r="AP223" s="225">
        <v>0</v>
      </c>
      <c r="AQ223" s="225">
        <v>0</v>
      </c>
      <c r="AR223" s="225">
        <v>0</v>
      </c>
      <c r="AS223" s="225">
        <v>0</v>
      </c>
      <c r="AT223" s="225">
        <v>0</v>
      </c>
      <c r="AU223" s="225">
        <v>0</v>
      </c>
      <c r="AV223" s="225">
        <f t="shared" si="113"/>
        <v>0</v>
      </c>
      <c r="AX223" s="225">
        <f t="shared" si="114"/>
        <v>0</v>
      </c>
      <c r="AY223" s="225">
        <f t="shared" si="115"/>
        <v>0</v>
      </c>
      <c r="AZ223" s="225">
        <f t="shared" si="116"/>
        <v>0</v>
      </c>
      <c r="BA223" s="225">
        <f t="shared" si="117"/>
        <v>0</v>
      </c>
      <c r="BB223" s="225">
        <f t="shared" si="118"/>
        <v>0</v>
      </c>
      <c r="BC223" s="225">
        <f t="shared" si="119"/>
        <v>0</v>
      </c>
      <c r="BD223" s="225">
        <f t="shared" si="120"/>
        <v>0</v>
      </c>
      <c r="BE223" s="225">
        <f t="shared" si="121"/>
        <v>0</v>
      </c>
      <c r="BF223" s="225">
        <f t="shared" si="122"/>
        <v>0</v>
      </c>
      <c r="BG223" s="225">
        <f t="shared" si="95"/>
        <v>0</v>
      </c>
      <c r="BH223" s="225">
        <f t="shared" si="96"/>
        <v>0</v>
      </c>
      <c r="BI223" s="225">
        <f t="shared" si="97"/>
        <v>0</v>
      </c>
      <c r="BJ223" s="225">
        <f t="shared" si="98"/>
        <v>0</v>
      </c>
      <c r="BK223" s="225">
        <f t="shared" si="99"/>
        <v>0</v>
      </c>
      <c r="BL223" s="225">
        <f t="shared" si="100"/>
        <v>0</v>
      </c>
      <c r="BM223" s="225">
        <f t="shared" si="101"/>
        <v>0</v>
      </c>
      <c r="BN223" s="225">
        <f t="shared" si="123"/>
        <v>0</v>
      </c>
      <c r="BO223" s="225">
        <f t="shared" si="102"/>
        <v>0</v>
      </c>
      <c r="BQ223" s="225"/>
      <c r="BR223" s="225"/>
    </row>
    <row r="224" spans="1:70">
      <c r="A224" s="168">
        <v>2205</v>
      </c>
      <c r="B224" s="2">
        <v>147452</v>
      </c>
      <c r="C224" s="2" t="s">
        <v>420</v>
      </c>
      <c r="F224" s="176">
        <v>0</v>
      </c>
      <c r="G224" s="176">
        <v>0</v>
      </c>
      <c r="H224" s="176">
        <v>0</v>
      </c>
      <c r="I224" s="176">
        <v>0</v>
      </c>
      <c r="J224" s="176">
        <v>0</v>
      </c>
      <c r="K224" s="176">
        <v>0</v>
      </c>
      <c r="L224" s="30">
        <f t="shared" si="125"/>
        <v>0</v>
      </c>
      <c r="M224" s="176">
        <f t="shared" si="126"/>
        <v>0</v>
      </c>
      <c r="O224" s="176">
        <v>0</v>
      </c>
      <c r="P224" s="176">
        <v>0</v>
      </c>
      <c r="Q224" s="176">
        <v>0</v>
      </c>
      <c r="R224" s="176">
        <v>0</v>
      </c>
      <c r="S224" s="176">
        <v>0</v>
      </c>
      <c r="T224" s="176">
        <v>0</v>
      </c>
      <c r="U224" s="176">
        <f t="shared" si="127"/>
        <v>0</v>
      </c>
      <c r="V224" s="176">
        <f t="shared" si="128"/>
        <v>0</v>
      </c>
      <c r="Y224" s="176">
        <v>0</v>
      </c>
      <c r="Z224" s="176">
        <v>0</v>
      </c>
      <c r="AA224" s="176">
        <v>0</v>
      </c>
      <c r="AB224" s="176">
        <v>0</v>
      </c>
      <c r="AC224" s="176">
        <v>0</v>
      </c>
      <c r="AD224" s="176">
        <f t="shared" si="129"/>
        <v>0</v>
      </c>
      <c r="AE224" s="247">
        <f t="shared" si="130"/>
        <v>0</v>
      </c>
      <c r="AG224" s="247">
        <v>0</v>
      </c>
      <c r="AH224" s="247">
        <v>0</v>
      </c>
      <c r="AI224" s="247">
        <v>0</v>
      </c>
      <c r="AK224" s="247">
        <f t="shared" si="110"/>
        <v>0</v>
      </c>
      <c r="AL224" s="247">
        <f t="shared" si="111"/>
        <v>0</v>
      </c>
      <c r="AM224" s="247">
        <f t="shared" si="112"/>
        <v>0</v>
      </c>
      <c r="AO224" s="225">
        <v>0</v>
      </c>
      <c r="AP224" s="225">
        <v>0</v>
      </c>
      <c r="AQ224" s="225">
        <v>0</v>
      </c>
      <c r="AR224" s="225">
        <v>0</v>
      </c>
      <c r="AS224" s="225">
        <v>0</v>
      </c>
      <c r="AT224" s="225">
        <v>0</v>
      </c>
      <c r="AU224" s="225">
        <v>0</v>
      </c>
      <c r="AV224" s="225">
        <f t="shared" si="113"/>
        <v>0</v>
      </c>
      <c r="AX224" s="225">
        <f t="shared" si="114"/>
        <v>0</v>
      </c>
      <c r="AY224" s="225">
        <f t="shared" si="115"/>
        <v>0</v>
      </c>
      <c r="AZ224" s="225">
        <f t="shared" si="116"/>
        <v>0</v>
      </c>
      <c r="BA224" s="225">
        <f t="shared" si="117"/>
        <v>0</v>
      </c>
      <c r="BB224" s="225">
        <f t="shared" si="118"/>
        <v>0</v>
      </c>
      <c r="BC224" s="225">
        <f t="shared" si="119"/>
        <v>0</v>
      </c>
      <c r="BD224" s="225">
        <f t="shared" si="120"/>
        <v>0</v>
      </c>
      <c r="BE224" s="225">
        <f t="shared" si="121"/>
        <v>0</v>
      </c>
      <c r="BF224" s="225">
        <f t="shared" si="122"/>
        <v>0</v>
      </c>
      <c r="BG224" s="225">
        <f t="shared" si="95"/>
        <v>0</v>
      </c>
      <c r="BH224" s="225">
        <f t="shared" si="96"/>
        <v>0</v>
      </c>
      <c r="BI224" s="225">
        <f t="shared" si="97"/>
        <v>0</v>
      </c>
      <c r="BJ224" s="225">
        <f t="shared" si="98"/>
        <v>0</v>
      </c>
      <c r="BK224" s="225">
        <f t="shared" si="99"/>
        <v>0</v>
      </c>
      <c r="BL224" s="225">
        <f t="shared" si="100"/>
        <v>0</v>
      </c>
      <c r="BM224" s="225">
        <f t="shared" si="101"/>
        <v>0</v>
      </c>
      <c r="BN224" s="225">
        <f t="shared" si="123"/>
        <v>0</v>
      </c>
      <c r="BO224" s="225">
        <f t="shared" si="102"/>
        <v>0</v>
      </c>
      <c r="BQ224" s="225"/>
      <c r="BR224" s="225"/>
    </row>
    <row r="225" spans="1:70">
      <c r="A225" s="168">
        <v>2249</v>
      </c>
      <c r="B225" s="2">
        <v>139860</v>
      </c>
      <c r="C225" s="2" t="s">
        <v>421</v>
      </c>
      <c r="F225" s="176">
        <v>0</v>
      </c>
      <c r="G225" s="176">
        <v>0</v>
      </c>
      <c r="H225" s="176">
        <v>0</v>
      </c>
      <c r="I225" s="176">
        <v>0</v>
      </c>
      <c r="J225" s="176">
        <v>0</v>
      </c>
      <c r="K225" s="176">
        <v>0</v>
      </c>
      <c r="L225" s="30">
        <f t="shared" si="125"/>
        <v>0</v>
      </c>
      <c r="M225" s="176">
        <f t="shared" si="126"/>
        <v>0</v>
      </c>
      <c r="O225" s="176">
        <v>0</v>
      </c>
      <c r="P225" s="176">
        <v>0</v>
      </c>
      <c r="Q225" s="176">
        <v>0</v>
      </c>
      <c r="R225" s="176">
        <v>0</v>
      </c>
      <c r="S225" s="176">
        <v>0</v>
      </c>
      <c r="T225" s="176">
        <v>0</v>
      </c>
      <c r="U225" s="176">
        <f t="shared" si="127"/>
        <v>0</v>
      </c>
      <c r="V225" s="176">
        <f t="shared" si="128"/>
        <v>0</v>
      </c>
      <c r="Y225" s="176">
        <v>0</v>
      </c>
      <c r="Z225" s="176">
        <v>0</v>
      </c>
      <c r="AA225" s="176">
        <v>0</v>
      </c>
      <c r="AB225" s="176">
        <v>0</v>
      </c>
      <c r="AC225" s="176">
        <v>0</v>
      </c>
      <c r="AD225" s="176">
        <f t="shared" si="129"/>
        <v>0</v>
      </c>
      <c r="AE225" s="247">
        <f t="shared" si="130"/>
        <v>0</v>
      </c>
      <c r="AG225" s="247">
        <v>0</v>
      </c>
      <c r="AH225" s="247">
        <v>0</v>
      </c>
      <c r="AI225" s="247">
        <v>0</v>
      </c>
      <c r="AK225" s="247">
        <f t="shared" si="110"/>
        <v>0</v>
      </c>
      <c r="AL225" s="247">
        <f t="shared" si="111"/>
        <v>0</v>
      </c>
      <c r="AM225" s="247">
        <f t="shared" si="112"/>
        <v>0</v>
      </c>
      <c r="AO225" s="225">
        <v>0</v>
      </c>
      <c r="AP225" s="225">
        <v>0</v>
      </c>
      <c r="AQ225" s="225">
        <v>0</v>
      </c>
      <c r="AR225" s="225">
        <v>0</v>
      </c>
      <c r="AS225" s="225">
        <v>0</v>
      </c>
      <c r="AT225" s="225">
        <v>0</v>
      </c>
      <c r="AU225" s="225">
        <v>0</v>
      </c>
      <c r="AV225" s="225">
        <f t="shared" si="113"/>
        <v>0</v>
      </c>
      <c r="AX225" s="225">
        <f t="shared" si="114"/>
        <v>0</v>
      </c>
      <c r="AY225" s="225">
        <f t="shared" si="115"/>
        <v>0</v>
      </c>
      <c r="AZ225" s="225">
        <f t="shared" si="116"/>
        <v>0</v>
      </c>
      <c r="BA225" s="225">
        <f t="shared" si="117"/>
        <v>0</v>
      </c>
      <c r="BB225" s="225">
        <f t="shared" si="118"/>
        <v>0</v>
      </c>
      <c r="BC225" s="225">
        <f t="shared" si="119"/>
        <v>0</v>
      </c>
      <c r="BD225" s="225">
        <f t="shared" si="120"/>
        <v>0</v>
      </c>
      <c r="BE225" s="225">
        <f t="shared" si="121"/>
        <v>0</v>
      </c>
      <c r="BF225" s="225">
        <f t="shared" si="122"/>
        <v>0</v>
      </c>
      <c r="BG225" s="225">
        <f t="shared" si="95"/>
        <v>0</v>
      </c>
      <c r="BH225" s="225">
        <f t="shared" si="96"/>
        <v>0</v>
      </c>
      <c r="BI225" s="225">
        <f t="shared" si="97"/>
        <v>0</v>
      </c>
      <c r="BJ225" s="225">
        <f t="shared" si="98"/>
        <v>0</v>
      </c>
      <c r="BK225" s="225">
        <f t="shared" si="99"/>
        <v>0</v>
      </c>
      <c r="BL225" s="225">
        <f t="shared" si="100"/>
        <v>0</v>
      </c>
      <c r="BM225" s="225">
        <f t="shared" si="101"/>
        <v>0</v>
      </c>
      <c r="BN225" s="225">
        <f t="shared" si="123"/>
        <v>0</v>
      </c>
      <c r="BO225" s="225">
        <f t="shared" si="102"/>
        <v>0</v>
      </c>
      <c r="BQ225" s="225"/>
      <c r="BR225" s="225"/>
    </row>
    <row r="226" spans="1:70">
      <c r="A226" s="168">
        <v>2447</v>
      </c>
      <c r="B226" s="2">
        <v>143087</v>
      </c>
      <c r="C226" s="2" t="s">
        <v>422</v>
      </c>
      <c r="F226" s="176">
        <v>0</v>
      </c>
      <c r="G226" s="176">
        <v>0</v>
      </c>
      <c r="H226" s="176">
        <v>59599.8</v>
      </c>
      <c r="I226" s="176">
        <v>5655</v>
      </c>
      <c r="J226" s="176">
        <v>2162.7894736842104</v>
      </c>
      <c r="K226" s="176">
        <v>0</v>
      </c>
      <c r="L226" s="30">
        <f t="shared" si="125"/>
        <v>67417.589473684217</v>
      </c>
      <c r="M226" s="176">
        <f t="shared" si="126"/>
        <v>53934.071578947376</v>
      </c>
      <c r="O226" s="176">
        <v>0</v>
      </c>
      <c r="P226" s="176">
        <v>0</v>
      </c>
      <c r="Q226" s="176">
        <v>47459.1</v>
      </c>
      <c r="R226" s="176">
        <v>5850</v>
      </c>
      <c r="S226" s="176">
        <v>2237.3684210526317</v>
      </c>
      <c r="T226" s="176">
        <v>0</v>
      </c>
      <c r="U226" s="176">
        <f t="shared" si="127"/>
        <v>55546.468421052632</v>
      </c>
      <c r="V226" s="176">
        <f t="shared" si="128"/>
        <v>44437.174736842106</v>
      </c>
      <c r="Y226" s="176">
        <v>0</v>
      </c>
      <c r="Z226" s="176">
        <v>47937.221052631583</v>
      </c>
      <c r="AA226" s="176">
        <v>4888.4210526315783</v>
      </c>
      <c r="AB226" s="176">
        <v>1869.6066481994458</v>
      </c>
      <c r="AC226" s="176">
        <v>0</v>
      </c>
      <c r="AD226" s="176">
        <f t="shared" si="129"/>
        <v>54695.248753462613</v>
      </c>
      <c r="AE226" s="247">
        <f t="shared" si="130"/>
        <v>43756.199002770096</v>
      </c>
      <c r="AG226" s="247">
        <v>4089.15</v>
      </c>
      <c r="AH226" s="247">
        <v>2661.75</v>
      </c>
      <c r="AI226" s="247">
        <v>3092.2105263157891</v>
      </c>
      <c r="AK226" s="247">
        <f t="shared" si="110"/>
        <v>3271.32</v>
      </c>
      <c r="AL226" s="247">
        <f t="shared" si="111"/>
        <v>2129.4</v>
      </c>
      <c r="AM226" s="247">
        <f t="shared" si="112"/>
        <v>2473.7684210526313</v>
      </c>
      <c r="AO226" s="225">
        <v>0</v>
      </c>
      <c r="AP226" s="225">
        <v>0</v>
      </c>
      <c r="AQ226" s="225">
        <v>49666.5</v>
      </c>
      <c r="AR226" s="225">
        <v>5655</v>
      </c>
      <c r="AS226" s="225">
        <v>2162.7894736842104</v>
      </c>
      <c r="AT226" s="225">
        <v>0</v>
      </c>
      <c r="AU226" s="225">
        <v>2915.25</v>
      </c>
      <c r="AV226" s="225">
        <f t="shared" si="113"/>
        <v>60399.539473684214</v>
      </c>
      <c r="AX226" s="225">
        <f t="shared" si="114"/>
        <v>0</v>
      </c>
      <c r="AY226" s="225">
        <f t="shared" si="115"/>
        <v>0</v>
      </c>
      <c r="AZ226" s="225">
        <f t="shared" si="116"/>
        <v>-9933.3000000000029</v>
      </c>
      <c r="BA226" s="225">
        <f t="shared" si="117"/>
        <v>0</v>
      </c>
      <c r="BB226" s="225">
        <f t="shared" si="118"/>
        <v>0</v>
      </c>
      <c r="BC226" s="225">
        <f t="shared" si="119"/>
        <v>0</v>
      </c>
      <c r="BD226" s="225">
        <f t="shared" si="120"/>
        <v>-1173.9000000000001</v>
      </c>
      <c r="BE226" s="225">
        <f t="shared" si="121"/>
        <v>-11107.200000000003</v>
      </c>
      <c r="BF226" s="225">
        <f t="shared" si="122"/>
        <v>0</v>
      </c>
      <c r="BG226" s="225">
        <f t="shared" si="95"/>
        <v>0</v>
      </c>
      <c r="BH226" s="225">
        <f t="shared" si="96"/>
        <v>0</v>
      </c>
      <c r="BI226" s="225">
        <f t="shared" si="97"/>
        <v>1986.6599999999962</v>
      </c>
      <c r="BJ226" s="225">
        <f t="shared" si="98"/>
        <v>1131</v>
      </c>
      <c r="BK226" s="225">
        <f t="shared" si="99"/>
        <v>432.55789473684194</v>
      </c>
      <c r="BL226" s="225">
        <f t="shared" si="100"/>
        <v>0</v>
      </c>
      <c r="BM226" s="225">
        <f t="shared" si="101"/>
        <v>-356.07000000000016</v>
      </c>
      <c r="BN226" s="225">
        <f t="shared" si="123"/>
        <v>3194.1478947368382</v>
      </c>
      <c r="BO226" s="225">
        <f t="shared" si="102"/>
        <v>0</v>
      </c>
      <c r="BQ226" s="225"/>
      <c r="BR226" s="225"/>
    </row>
    <row r="227" spans="1:70">
      <c r="A227" s="168">
        <v>3325</v>
      </c>
      <c r="B227" s="2">
        <v>148439</v>
      </c>
      <c r="C227" s="2" t="s">
        <v>423</v>
      </c>
      <c r="F227" s="176">
        <v>0</v>
      </c>
      <c r="G227" s="176">
        <v>0</v>
      </c>
      <c r="H227" s="176">
        <v>28696.2</v>
      </c>
      <c r="I227" s="176">
        <v>1170</v>
      </c>
      <c r="J227" s="176">
        <v>0</v>
      </c>
      <c r="K227" s="176">
        <v>0</v>
      </c>
      <c r="L227" s="30">
        <f t="shared" si="125"/>
        <v>29866.2</v>
      </c>
      <c r="M227" s="176">
        <f t="shared" si="126"/>
        <v>23892.960000000003</v>
      </c>
      <c r="O227" s="176">
        <v>0</v>
      </c>
      <c r="P227" s="176">
        <v>0</v>
      </c>
      <c r="Q227" s="176">
        <v>18762.900000000001</v>
      </c>
      <c r="R227" s="176">
        <v>975</v>
      </c>
      <c r="S227" s="176">
        <v>372.89473684210526</v>
      </c>
      <c r="T227" s="176">
        <v>0</v>
      </c>
      <c r="U227" s="176">
        <f t="shared" si="127"/>
        <v>20110.794736842108</v>
      </c>
      <c r="V227" s="176">
        <f t="shared" si="128"/>
        <v>16088.635789473687</v>
      </c>
      <c r="Y227" s="176">
        <v>0</v>
      </c>
      <c r="Z227" s="176">
        <v>21555.663157894734</v>
      </c>
      <c r="AA227" s="176">
        <v>852.63157894736844</v>
      </c>
      <c r="AB227" s="176">
        <v>195.65650969529085</v>
      </c>
      <c r="AC227" s="176">
        <v>0</v>
      </c>
      <c r="AD227" s="176">
        <f t="shared" si="129"/>
        <v>22603.951246537395</v>
      </c>
      <c r="AE227" s="247">
        <f t="shared" si="130"/>
        <v>18083.160997229916</v>
      </c>
      <c r="AG227" s="247">
        <v>434.85</v>
      </c>
      <c r="AH227" s="247">
        <v>156</v>
      </c>
      <c r="AI227" s="247">
        <v>289.89473684210532</v>
      </c>
      <c r="AK227" s="247">
        <f t="shared" si="110"/>
        <v>347.88000000000005</v>
      </c>
      <c r="AL227" s="247">
        <f t="shared" si="111"/>
        <v>124.80000000000001</v>
      </c>
      <c r="AM227" s="247">
        <f t="shared" si="112"/>
        <v>231.91578947368427</v>
      </c>
      <c r="AO227" s="225">
        <v>0</v>
      </c>
      <c r="AP227" s="225">
        <v>0</v>
      </c>
      <c r="AQ227" s="225">
        <v>26488.800000000003</v>
      </c>
      <c r="AR227" s="225">
        <v>975</v>
      </c>
      <c r="AS227" s="225">
        <v>372.89473684210526</v>
      </c>
      <c r="AT227" s="225">
        <v>0</v>
      </c>
      <c r="AU227" s="225">
        <v>315.89999999999998</v>
      </c>
      <c r="AV227" s="225">
        <f t="shared" si="113"/>
        <v>28152.594736842111</v>
      </c>
      <c r="AX227" s="225">
        <f t="shared" si="114"/>
        <v>0</v>
      </c>
      <c r="AY227" s="225">
        <f t="shared" si="115"/>
        <v>0</v>
      </c>
      <c r="AZ227" s="225">
        <f t="shared" si="116"/>
        <v>-2207.3999999999978</v>
      </c>
      <c r="BA227" s="225">
        <f t="shared" si="117"/>
        <v>-195</v>
      </c>
      <c r="BB227" s="225">
        <f t="shared" si="118"/>
        <v>372.89473684210526</v>
      </c>
      <c r="BC227" s="225">
        <f t="shared" si="119"/>
        <v>0</v>
      </c>
      <c r="BD227" s="225">
        <f t="shared" si="120"/>
        <v>-118.95000000000005</v>
      </c>
      <c r="BE227" s="225">
        <f t="shared" si="121"/>
        <v>-2148.4552631578927</v>
      </c>
      <c r="BF227" s="225">
        <f t="shared" si="122"/>
        <v>0</v>
      </c>
      <c r="BG227" s="225">
        <f t="shared" si="95"/>
        <v>0</v>
      </c>
      <c r="BH227" s="225">
        <f t="shared" si="96"/>
        <v>0</v>
      </c>
      <c r="BI227" s="225">
        <f t="shared" si="97"/>
        <v>3531.84</v>
      </c>
      <c r="BJ227" s="225">
        <f t="shared" si="98"/>
        <v>39</v>
      </c>
      <c r="BK227" s="225">
        <f t="shared" si="99"/>
        <v>372.89473684210526</v>
      </c>
      <c r="BL227" s="225">
        <f t="shared" si="100"/>
        <v>0</v>
      </c>
      <c r="BM227" s="225">
        <f t="shared" si="101"/>
        <v>-31.980000000000075</v>
      </c>
      <c r="BN227" s="225">
        <f t="shared" si="123"/>
        <v>3911.7547368421056</v>
      </c>
      <c r="BO227" s="225">
        <f t="shared" si="102"/>
        <v>0</v>
      </c>
      <c r="BQ227" s="225"/>
      <c r="BR227" s="225"/>
    </row>
    <row r="228" spans="1:70">
      <c r="A228" s="168">
        <v>4027</v>
      </c>
      <c r="B228" s="2">
        <v>144721</v>
      </c>
      <c r="C228" s="2" t="s">
        <v>424</v>
      </c>
      <c r="F228" s="176">
        <v>0</v>
      </c>
      <c r="G228" s="176">
        <v>0</v>
      </c>
      <c r="H228" s="176">
        <v>0</v>
      </c>
      <c r="I228" s="176">
        <v>0</v>
      </c>
      <c r="J228" s="176">
        <v>0</v>
      </c>
      <c r="K228" s="176">
        <v>0</v>
      </c>
      <c r="L228" s="30">
        <f t="shared" si="125"/>
        <v>0</v>
      </c>
      <c r="M228" s="176">
        <f t="shared" si="126"/>
        <v>0</v>
      </c>
      <c r="O228" s="176">
        <v>0</v>
      </c>
      <c r="P228" s="176">
        <v>0</v>
      </c>
      <c r="Q228" s="176">
        <v>0</v>
      </c>
      <c r="R228" s="176">
        <v>0</v>
      </c>
      <c r="S228" s="176">
        <v>0</v>
      </c>
      <c r="T228" s="176">
        <v>0</v>
      </c>
      <c r="U228" s="176">
        <f t="shared" si="127"/>
        <v>0</v>
      </c>
      <c r="V228" s="176">
        <f t="shared" si="128"/>
        <v>0</v>
      </c>
      <c r="Y228" s="176">
        <v>0</v>
      </c>
      <c r="Z228" s="176">
        <v>0</v>
      </c>
      <c r="AA228" s="176">
        <v>0</v>
      </c>
      <c r="AB228" s="176">
        <v>0</v>
      </c>
      <c r="AC228" s="176">
        <v>0</v>
      </c>
      <c r="AD228" s="176">
        <f t="shared" si="129"/>
        <v>0</v>
      </c>
      <c r="AE228" s="247">
        <f t="shared" si="130"/>
        <v>0</v>
      </c>
      <c r="AG228" s="247">
        <v>0</v>
      </c>
      <c r="AH228" s="247">
        <v>0</v>
      </c>
      <c r="AI228" s="247">
        <v>0</v>
      </c>
      <c r="AK228" s="247">
        <f t="shared" si="110"/>
        <v>0</v>
      </c>
      <c r="AL228" s="247">
        <f t="shared" si="111"/>
        <v>0</v>
      </c>
      <c r="AM228" s="247">
        <f t="shared" si="112"/>
        <v>0</v>
      </c>
      <c r="AO228" s="225">
        <v>0</v>
      </c>
      <c r="AP228" s="225">
        <v>0</v>
      </c>
      <c r="AQ228" s="225">
        <v>0</v>
      </c>
      <c r="AR228" s="225">
        <v>0</v>
      </c>
      <c r="AS228" s="225">
        <v>0</v>
      </c>
      <c r="AT228" s="225">
        <v>0</v>
      </c>
      <c r="AU228" s="225">
        <v>0</v>
      </c>
      <c r="AV228" s="225">
        <f t="shared" si="113"/>
        <v>0</v>
      </c>
      <c r="AX228" s="225">
        <f t="shared" si="114"/>
        <v>0</v>
      </c>
      <c r="AY228" s="225">
        <f t="shared" si="115"/>
        <v>0</v>
      </c>
      <c r="AZ228" s="225">
        <f t="shared" si="116"/>
        <v>0</v>
      </c>
      <c r="BA228" s="225">
        <f t="shared" si="117"/>
        <v>0</v>
      </c>
      <c r="BB228" s="225">
        <f t="shared" si="118"/>
        <v>0</v>
      </c>
      <c r="BC228" s="225">
        <f t="shared" si="119"/>
        <v>0</v>
      </c>
      <c r="BD228" s="225">
        <f t="shared" si="120"/>
        <v>0</v>
      </c>
      <c r="BE228" s="225">
        <f t="shared" si="121"/>
        <v>0</v>
      </c>
      <c r="BF228" s="225">
        <f t="shared" si="122"/>
        <v>0</v>
      </c>
      <c r="BG228" s="225">
        <f t="shared" si="95"/>
        <v>0</v>
      </c>
      <c r="BH228" s="225">
        <f t="shared" si="96"/>
        <v>0</v>
      </c>
      <c r="BI228" s="225">
        <f t="shared" si="97"/>
        <v>0</v>
      </c>
      <c r="BJ228" s="225">
        <f t="shared" si="98"/>
        <v>0</v>
      </c>
      <c r="BK228" s="225">
        <f t="shared" si="99"/>
        <v>0</v>
      </c>
      <c r="BL228" s="225">
        <f t="shared" si="100"/>
        <v>0</v>
      </c>
      <c r="BM228" s="225">
        <f t="shared" si="101"/>
        <v>0</v>
      </c>
      <c r="BN228" s="225">
        <f t="shared" si="123"/>
        <v>0</v>
      </c>
      <c r="BO228" s="225">
        <f t="shared" si="102"/>
        <v>0</v>
      </c>
      <c r="BQ228" s="225"/>
      <c r="BR228" s="225"/>
    </row>
    <row r="229" spans="1:70">
      <c r="A229" s="168">
        <v>2058</v>
      </c>
      <c r="B229" s="2">
        <v>138425</v>
      </c>
      <c r="C229" s="2" t="s">
        <v>425</v>
      </c>
      <c r="F229" s="176">
        <v>0</v>
      </c>
      <c r="G229" s="176">
        <v>0</v>
      </c>
      <c r="H229" s="176">
        <v>47459.1</v>
      </c>
      <c r="I229" s="176">
        <v>4095</v>
      </c>
      <c r="J229" s="176">
        <v>1193.2631578947369</v>
      </c>
      <c r="K229" s="176">
        <v>0</v>
      </c>
      <c r="L229" s="30">
        <f t="shared" si="125"/>
        <v>52747.363157894739</v>
      </c>
      <c r="M229" s="176">
        <f t="shared" si="126"/>
        <v>42197.890526315794</v>
      </c>
      <c r="O229" s="176">
        <v>0</v>
      </c>
      <c r="P229" s="176">
        <v>0</v>
      </c>
      <c r="Q229" s="176">
        <v>44148</v>
      </c>
      <c r="R229" s="176">
        <v>3120</v>
      </c>
      <c r="S229" s="176">
        <v>1193.2631578947369</v>
      </c>
      <c r="T229" s="176">
        <v>0</v>
      </c>
      <c r="U229" s="176">
        <f t="shared" si="127"/>
        <v>48461.26315789474</v>
      </c>
      <c r="V229" s="176">
        <f t="shared" si="128"/>
        <v>38769.010526315797</v>
      </c>
      <c r="Y229" s="176">
        <v>0</v>
      </c>
      <c r="Z229" s="176">
        <v>40215.789473684206</v>
      </c>
      <c r="AA229" s="176">
        <v>3126.3157894736842</v>
      </c>
      <c r="AB229" s="176">
        <v>1043.5013850415512</v>
      </c>
      <c r="AC229" s="176">
        <v>0</v>
      </c>
      <c r="AD229" s="176">
        <f t="shared" si="129"/>
        <v>44385.606648199442</v>
      </c>
      <c r="AE229" s="247">
        <f t="shared" si="130"/>
        <v>35508.485318559557</v>
      </c>
      <c r="AG229" s="247">
        <v>1439.1000000000001</v>
      </c>
      <c r="AH229" s="247">
        <v>1737.45</v>
      </c>
      <c r="AI229" s="247">
        <v>1333.5157894736842</v>
      </c>
      <c r="AK229" s="247">
        <f t="shared" si="110"/>
        <v>1151.2800000000002</v>
      </c>
      <c r="AL229" s="247">
        <f t="shared" si="111"/>
        <v>1389.96</v>
      </c>
      <c r="AM229" s="247">
        <f t="shared" si="112"/>
        <v>1066.8126315789475</v>
      </c>
      <c r="AO229" s="225">
        <v>0</v>
      </c>
      <c r="AP229" s="225">
        <v>0</v>
      </c>
      <c r="AQ229" s="225">
        <v>45251.700000000004</v>
      </c>
      <c r="AR229" s="225">
        <v>3120</v>
      </c>
      <c r="AS229" s="225">
        <v>1193.2631578947369</v>
      </c>
      <c r="AT229" s="225">
        <v>0</v>
      </c>
      <c r="AU229" s="225">
        <v>1737.45</v>
      </c>
      <c r="AV229" s="225">
        <f t="shared" si="113"/>
        <v>51302.413157894742</v>
      </c>
      <c r="AX229" s="225">
        <f t="shared" si="114"/>
        <v>0</v>
      </c>
      <c r="AY229" s="225">
        <f t="shared" si="115"/>
        <v>0</v>
      </c>
      <c r="AZ229" s="225">
        <f t="shared" si="116"/>
        <v>-2207.3999999999942</v>
      </c>
      <c r="BA229" s="225">
        <f t="shared" si="117"/>
        <v>-975</v>
      </c>
      <c r="BB229" s="225">
        <f t="shared" si="118"/>
        <v>0</v>
      </c>
      <c r="BC229" s="225">
        <f t="shared" si="119"/>
        <v>0</v>
      </c>
      <c r="BD229" s="225">
        <f t="shared" si="120"/>
        <v>298.34999999999991</v>
      </c>
      <c r="BE229" s="225">
        <f t="shared" si="121"/>
        <v>-2884.0499999999943</v>
      </c>
      <c r="BF229" s="225">
        <f t="shared" si="122"/>
        <v>0</v>
      </c>
      <c r="BG229" s="225">
        <f t="shared" si="95"/>
        <v>0</v>
      </c>
      <c r="BH229" s="225">
        <f t="shared" si="96"/>
        <v>0</v>
      </c>
      <c r="BI229" s="225">
        <f t="shared" si="97"/>
        <v>7284.4200000000055</v>
      </c>
      <c r="BJ229" s="225">
        <f t="shared" si="98"/>
        <v>-156</v>
      </c>
      <c r="BK229" s="225">
        <f t="shared" si="99"/>
        <v>238.65263157894731</v>
      </c>
      <c r="BL229" s="225">
        <f t="shared" si="100"/>
        <v>0</v>
      </c>
      <c r="BM229" s="225">
        <f t="shared" si="101"/>
        <v>586.16999999999985</v>
      </c>
      <c r="BN229" s="225">
        <f t="shared" si="123"/>
        <v>7953.2426315789526</v>
      </c>
      <c r="BO229" s="225">
        <f t="shared" si="102"/>
        <v>0</v>
      </c>
      <c r="BQ229" s="225"/>
      <c r="BR229" s="225"/>
    </row>
    <row r="230" spans="1:70">
      <c r="A230" s="168">
        <v>4014</v>
      </c>
      <c r="B230" s="2">
        <v>140863</v>
      </c>
      <c r="C230" s="2" t="s">
        <v>426</v>
      </c>
      <c r="F230" s="176">
        <v>0</v>
      </c>
      <c r="G230" s="176">
        <v>0</v>
      </c>
      <c r="H230" s="176">
        <v>0</v>
      </c>
      <c r="I230" s="176">
        <v>0</v>
      </c>
      <c r="J230" s="176">
        <v>0</v>
      </c>
      <c r="K230" s="176">
        <v>0</v>
      </c>
      <c r="L230" s="30">
        <f t="shared" si="125"/>
        <v>0</v>
      </c>
      <c r="M230" s="176">
        <f t="shared" si="126"/>
        <v>0</v>
      </c>
      <c r="O230" s="176">
        <v>0</v>
      </c>
      <c r="P230" s="176">
        <v>0</v>
      </c>
      <c r="Q230" s="176">
        <v>0</v>
      </c>
      <c r="R230" s="176">
        <v>0</v>
      </c>
      <c r="S230" s="176">
        <v>0</v>
      </c>
      <c r="T230" s="176">
        <v>0</v>
      </c>
      <c r="U230" s="176">
        <f t="shared" si="127"/>
        <v>0</v>
      </c>
      <c r="V230" s="176">
        <f t="shared" si="128"/>
        <v>0</v>
      </c>
      <c r="Y230" s="176">
        <v>0</v>
      </c>
      <c r="Z230" s="176">
        <v>0</v>
      </c>
      <c r="AA230" s="176">
        <v>0</v>
      </c>
      <c r="AB230" s="176">
        <v>0</v>
      </c>
      <c r="AC230" s="176">
        <v>0</v>
      </c>
      <c r="AD230" s="176">
        <f t="shared" si="129"/>
        <v>0</v>
      </c>
      <c r="AE230" s="247">
        <f t="shared" si="130"/>
        <v>0</v>
      </c>
      <c r="AG230" s="247">
        <v>0</v>
      </c>
      <c r="AH230" s="247">
        <v>0</v>
      </c>
      <c r="AI230" s="247">
        <v>0</v>
      </c>
      <c r="AK230" s="247">
        <f t="shared" si="110"/>
        <v>0</v>
      </c>
      <c r="AL230" s="247">
        <f t="shared" si="111"/>
        <v>0</v>
      </c>
      <c r="AM230" s="247">
        <f t="shared" si="112"/>
        <v>0</v>
      </c>
      <c r="AO230" s="225">
        <v>0</v>
      </c>
      <c r="AP230" s="225">
        <v>0</v>
      </c>
      <c r="AQ230" s="225">
        <v>0</v>
      </c>
      <c r="AR230" s="225">
        <v>0</v>
      </c>
      <c r="AS230" s="225">
        <v>0</v>
      </c>
      <c r="AT230" s="225">
        <v>0</v>
      </c>
      <c r="AU230" s="225">
        <v>0</v>
      </c>
      <c r="AV230" s="225">
        <f t="shared" si="113"/>
        <v>0</v>
      </c>
      <c r="AX230" s="225">
        <f t="shared" si="114"/>
        <v>0</v>
      </c>
      <c r="AY230" s="225">
        <f t="shared" si="115"/>
        <v>0</v>
      </c>
      <c r="AZ230" s="225">
        <f t="shared" si="116"/>
        <v>0</v>
      </c>
      <c r="BA230" s="225">
        <f t="shared" si="117"/>
        <v>0</v>
      </c>
      <c r="BB230" s="225">
        <f t="shared" si="118"/>
        <v>0</v>
      </c>
      <c r="BC230" s="225">
        <f t="shared" si="119"/>
        <v>0</v>
      </c>
      <c r="BD230" s="225">
        <f t="shared" si="120"/>
        <v>0</v>
      </c>
      <c r="BE230" s="225">
        <f t="shared" si="121"/>
        <v>0</v>
      </c>
      <c r="BF230" s="225">
        <f t="shared" si="122"/>
        <v>0</v>
      </c>
      <c r="BG230" s="225">
        <f t="shared" si="95"/>
        <v>0</v>
      </c>
      <c r="BH230" s="225">
        <f t="shared" si="96"/>
        <v>0</v>
      </c>
      <c r="BI230" s="225">
        <f t="shared" si="97"/>
        <v>0</v>
      </c>
      <c r="BJ230" s="225">
        <f t="shared" si="98"/>
        <v>0</v>
      </c>
      <c r="BK230" s="225">
        <f t="shared" si="99"/>
        <v>0</v>
      </c>
      <c r="BL230" s="225">
        <f t="shared" si="100"/>
        <v>0</v>
      </c>
      <c r="BM230" s="225">
        <f t="shared" si="101"/>
        <v>0</v>
      </c>
      <c r="BN230" s="225">
        <f t="shared" si="123"/>
        <v>0</v>
      </c>
      <c r="BO230" s="225">
        <f t="shared" si="102"/>
        <v>0</v>
      </c>
      <c r="BQ230" s="225"/>
      <c r="BR230" s="225"/>
    </row>
    <row r="231" spans="1:70">
      <c r="A231" s="168">
        <v>4024</v>
      </c>
      <c r="B231" s="2">
        <v>144306</v>
      </c>
      <c r="C231" s="2" t="s">
        <v>427</v>
      </c>
      <c r="F231" s="176">
        <v>0</v>
      </c>
      <c r="G231" s="176">
        <v>0</v>
      </c>
      <c r="H231" s="176">
        <v>0</v>
      </c>
      <c r="I231" s="176">
        <v>0</v>
      </c>
      <c r="J231" s="176">
        <v>0</v>
      </c>
      <c r="K231" s="176">
        <v>0</v>
      </c>
      <c r="L231" s="30">
        <f t="shared" si="125"/>
        <v>0</v>
      </c>
      <c r="M231" s="176">
        <f t="shared" si="126"/>
        <v>0</v>
      </c>
      <c r="O231" s="176">
        <v>0</v>
      </c>
      <c r="P231" s="176">
        <v>0</v>
      </c>
      <c r="Q231" s="176">
        <v>0</v>
      </c>
      <c r="R231" s="176">
        <v>0</v>
      </c>
      <c r="S231" s="176">
        <v>0</v>
      </c>
      <c r="T231" s="176">
        <v>0</v>
      </c>
      <c r="U231" s="176">
        <f t="shared" si="127"/>
        <v>0</v>
      </c>
      <c r="V231" s="176">
        <f t="shared" si="128"/>
        <v>0</v>
      </c>
      <c r="Y231" s="176">
        <v>0</v>
      </c>
      <c r="Z231" s="176">
        <v>0</v>
      </c>
      <c r="AA231" s="176">
        <v>0</v>
      </c>
      <c r="AB231" s="176">
        <v>0</v>
      </c>
      <c r="AC231" s="176">
        <v>0</v>
      </c>
      <c r="AD231" s="176">
        <f t="shared" si="129"/>
        <v>0</v>
      </c>
      <c r="AE231" s="247">
        <f t="shared" si="130"/>
        <v>0</v>
      </c>
      <c r="AG231" s="247">
        <v>0</v>
      </c>
      <c r="AH231" s="247">
        <v>0</v>
      </c>
      <c r="AI231" s="247">
        <v>0</v>
      </c>
      <c r="AK231" s="247">
        <f t="shared" si="110"/>
        <v>0</v>
      </c>
      <c r="AL231" s="247">
        <f t="shared" si="111"/>
        <v>0</v>
      </c>
      <c r="AM231" s="247">
        <f t="shared" si="112"/>
        <v>0</v>
      </c>
      <c r="AO231" s="225">
        <v>0</v>
      </c>
      <c r="AP231" s="225">
        <v>0</v>
      </c>
      <c r="AQ231" s="225">
        <v>0</v>
      </c>
      <c r="AR231" s="225">
        <v>0</v>
      </c>
      <c r="AS231" s="225">
        <v>0</v>
      </c>
      <c r="AT231" s="225">
        <v>0</v>
      </c>
      <c r="AU231" s="225">
        <v>0</v>
      </c>
      <c r="AV231" s="225">
        <f t="shared" si="113"/>
        <v>0</v>
      </c>
      <c r="AX231" s="225">
        <f t="shared" si="114"/>
        <v>0</v>
      </c>
      <c r="AY231" s="225">
        <f t="shared" si="115"/>
        <v>0</v>
      </c>
      <c r="AZ231" s="225">
        <f t="shared" si="116"/>
        <v>0</v>
      </c>
      <c r="BA231" s="225">
        <f t="shared" si="117"/>
        <v>0</v>
      </c>
      <c r="BB231" s="225">
        <f t="shared" si="118"/>
        <v>0</v>
      </c>
      <c r="BC231" s="225">
        <f t="shared" si="119"/>
        <v>0</v>
      </c>
      <c r="BD231" s="225">
        <f t="shared" si="120"/>
        <v>0</v>
      </c>
      <c r="BE231" s="225">
        <f t="shared" si="121"/>
        <v>0</v>
      </c>
      <c r="BF231" s="225">
        <f t="shared" si="122"/>
        <v>0</v>
      </c>
      <c r="BG231" s="225">
        <f t="shared" si="95"/>
        <v>0</v>
      </c>
      <c r="BH231" s="225">
        <f t="shared" si="96"/>
        <v>0</v>
      </c>
      <c r="BI231" s="225">
        <f t="shared" si="97"/>
        <v>0</v>
      </c>
      <c r="BJ231" s="225">
        <f t="shared" si="98"/>
        <v>0</v>
      </c>
      <c r="BK231" s="225">
        <f t="shared" si="99"/>
        <v>0</v>
      </c>
      <c r="BL231" s="225">
        <f t="shared" si="100"/>
        <v>0</v>
      </c>
      <c r="BM231" s="225">
        <f t="shared" si="101"/>
        <v>0</v>
      </c>
      <c r="BN231" s="225">
        <f t="shared" si="123"/>
        <v>0</v>
      </c>
      <c r="BO231" s="225">
        <f t="shared" si="102"/>
        <v>0</v>
      </c>
      <c r="BQ231" s="225"/>
      <c r="BR231" s="225"/>
    </row>
    <row r="232" spans="1:70">
      <c r="A232" s="168">
        <v>2195</v>
      </c>
      <c r="B232" s="2">
        <v>138104</v>
      </c>
      <c r="C232" s="2" t="s">
        <v>428</v>
      </c>
      <c r="F232" s="176">
        <v>0</v>
      </c>
      <c r="G232" s="176">
        <v>21572.85</v>
      </c>
      <c r="H232" s="176">
        <v>59820.54</v>
      </c>
      <c r="I232" s="176">
        <v>6825</v>
      </c>
      <c r="J232" s="176">
        <v>0</v>
      </c>
      <c r="K232" s="176">
        <v>0</v>
      </c>
      <c r="L232" s="30">
        <f t="shared" si="125"/>
        <v>88218.39</v>
      </c>
      <c r="M232" s="176">
        <f t="shared" si="126"/>
        <v>70574.712</v>
      </c>
      <c r="O232" s="176">
        <v>0</v>
      </c>
      <c r="P232" s="176">
        <v>24227.97</v>
      </c>
      <c r="Q232" s="176">
        <v>38629.5</v>
      </c>
      <c r="R232" s="176">
        <v>5382</v>
      </c>
      <c r="S232" s="176">
        <v>1566.1578947368421</v>
      </c>
      <c r="T232" s="176">
        <v>0</v>
      </c>
      <c r="U232" s="176">
        <f t="shared" si="127"/>
        <v>69805.627894736841</v>
      </c>
      <c r="V232" s="176">
        <f t="shared" si="128"/>
        <v>55844.502315789476</v>
      </c>
      <c r="Y232" s="176">
        <v>17027.166315789476</v>
      </c>
      <c r="Z232" s="176">
        <v>44333.886315789474</v>
      </c>
      <c r="AA232" s="176">
        <v>4888.4210526315783</v>
      </c>
      <c r="AB232" s="176">
        <v>934.80332409972289</v>
      </c>
      <c r="AC232" s="176">
        <v>0</v>
      </c>
      <c r="AD232" s="176">
        <f t="shared" si="129"/>
        <v>67184.277008310237</v>
      </c>
      <c r="AE232" s="247">
        <f t="shared" si="130"/>
        <v>53747.421606648189</v>
      </c>
      <c r="AG232" s="247">
        <v>4363.71</v>
      </c>
      <c r="AH232" s="247">
        <v>2825.16</v>
      </c>
      <c r="AI232" s="247">
        <v>3033.5494736842106</v>
      </c>
      <c r="AK232" s="247">
        <f t="shared" si="110"/>
        <v>3490.9680000000003</v>
      </c>
      <c r="AL232" s="247">
        <f t="shared" si="111"/>
        <v>2260.1280000000002</v>
      </c>
      <c r="AM232" s="247">
        <f t="shared" si="112"/>
        <v>2426.8395789473684</v>
      </c>
      <c r="AO232" s="225">
        <v>0</v>
      </c>
      <c r="AP232" s="225">
        <v>21572.85</v>
      </c>
      <c r="AQ232" s="225">
        <v>67987.92</v>
      </c>
      <c r="AR232" s="225">
        <v>5655</v>
      </c>
      <c r="AS232" s="225">
        <v>1715.3157894736842</v>
      </c>
      <c r="AT232" s="225">
        <v>0</v>
      </c>
      <c r="AU232" s="225">
        <v>4488.8999999999996</v>
      </c>
      <c r="AV232" s="225">
        <f t="shared" si="113"/>
        <v>101419.98578947366</v>
      </c>
      <c r="AX232" s="225">
        <f t="shared" si="114"/>
        <v>0</v>
      </c>
      <c r="AY232" s="225">
        <f t="shared" si="115"/>
        <v>0</v>
      </c>
      <c r="AZ232" s="225">
        <f t="shared" si="116"/>
        <v>8167.3799999999974</v>
      </c>
      <c r="BA232" s="225">
        <f t="shared" si="117"/>
        <v>-1170</v>
      </c>
      <c r="BB232" s="225">
        <f t="shared" si="118"/>
        <v>1715.3157894736842</v>
      </c>
      <c r="BC232" s="225">
        <f t="shared" si="119"/>
        <v>0</v>
      </c>
      <c r="BD232" s="225">
        <f t="shared" si="120"/>
        <v>125.1899999999996</v>
      </c>
      <c r="BE232" s="225">
        <f t="shared" si="121"/>
        <v>8837.8857894736793</v>
      </c>
      <c r="BF232" s="225">
        <f t="shared" si="122"/>
        <v>0</v>
      </c>
      <c r="BG232" s="225">
        <f t="shared" si="95"/>
        <v>0</v>
      </c>
      <c r="BH232" s="225">
        <f t="shared" si="96"/>
        <v>4314.57</v>
      </c>
      <c r="BI232" s="225">
        <f t="shared" si="97"/>
        <v>20131.487999999998</v>
      </c>
      <c r="BJ232" s="225">
        <f t="shared" si="98"/>
        <v>195</v>
      </c>
      <c r="BK232" s="225">
        <f t="shared" si="99"/>
        <v>1715.3157894736842</v>
      </c>
      <c r="BL232" s="225">
        <f t="shared" si="100"/>
        <v>0</v>
      </c>
      <c r="BM232" s="225">
        <f t="shared" si="101"/>
        <v>997.93199999999933</v>
      </c>
      <c r="BN232" s="225">
        <f t="shared" si="123"/>
        <v>27354.305789473681</v>
      </c>
      <c r="BO232" s="225">
        <f t="shared" si="102"/>
        <v>0</v>
      </c>
      <c r="BQ232" s="225"/>
      <c r="BR232" s="225"/>
    </row>
    <row r="233" spans="1:70">
      <c r="A233" s="168">
        <v>1112</v>
      </c>
      <c r="B233" s="2">
        <v>146731</v>
      </c>
      <c r="C233" s="2" t="s">
        <v>429</v>
      </c>
      <c r="F233" s="176">
        <v>0</v>
      </c>
      <c r="G233" s="176">
        <v>0</v>
      </c>
      <c r="H233" s="176">
        <v>0</v>
      </c>
      <c r="I233" s="176">
        <v>0</v>
      </c>
      <c r="J233" s="176">
        <v>0</v>
      </c>
      <c r="K233" s="176">
        <v>0</v>
      </c>
      <c r="L233" s="30">
        <f t="shared" si="125"/>
        <v>0</v>
      </c>
      <c r="M233" s="176">
        <f t="shared" si="126"/>
        <v>0</v>
      </c>
      <c r="O233" s="176">
        <v>0</v>
      </c>
      <c r="P233" s="176">
        <v>0</v>
      </c>
      <c r="Q233" s="176">
        <v>0</v>
      </c>
      <c r="R233" s="176">
        <v>0</v>
      </c>
      <c r="S233" s="176">
        <v>0</v>
      </c>
      <c r="T233" s="176">
        <v>0</v>
      </c>
      <c r="U233" s="176">
        <f t="shared" si="127"/>
        <v>0</v>
      </c>
      <c r="V233" s="176">
        <f t="shared" si="128"/>
        <v>0</v>
      </c>
      <c r="Y233" s="176">
        <v>0</v>
      </c>
      <c r="Z233" s="176">
        <v>0</v>
      </c>
      <c r="AA233" s="176">
        <v>0</v>
      </c>
      <c r="AB233" s="176">
        <v>0</v>
      </c>
      <c r="AC233" s="176">
        <v>0</v>
      </c>
      <c r="AD233" s="176">
        <f t="shared" si="129"/>
        <v>0</v>
      </c>
      <c r="AE233" s="247">
        <f t="shared" si="130"/>
        <v>0</v>
      </c>
      <c r="AG233" s="247">
        <v>0</v>
      </c>
      <c r="AH233" s="247">
        <v>0</v>
      </c>
      <c r="AI233" s="247">
        <v>0</v>
      </c>
      <c r="AK233" s="247">
        <f t="shared" si="110"/>
        <v>0</v>
      </c>
      <c r="AL233" s="247">
        <f t="shared" si="111"/>
        <v>0</v>
      </c>
      <c r="AM233" s="247">
        <f t="shared" si="112"/>
        <v>0</v>
      </c>
      <c r="AO233" s="225">
        <v>0</v>
      </c>
      <c r="AP233" s="225">
        <v>0</v>
      </c>
      <c r="AQ233" s="225">
        <v>0</v>
      </c>
      <c r="AR233" s="225">
        <v>0</v>
      </c>
      <c r="AS233" s="225">
        <v>0</v>
      </c>
      <c r="AT233" s="225">
        <v>0</v>
      </c>
      <c r="AU233" s="225">
        <v>0</v>
      </c>
      <c r="AV233" s="225">
        <f t="shared" si="113"/>
        <v>0</v>
      </c>
      <c r="AX233" s="225">
        <f t="shared" si="114"/>
        <v>0</v>
      </c>
      <c r="AY233" s="225">
        <f t="shared" si="115"/>
        <v>0</v>
      </c>
      <c r="AZ233" s="225">
        <f t="shared" si="116"/>
        <v>0</v>
      </c>
      <c r="BA233" s="225">
        <f t="shared" si="117"/>
        <v>0</v>
      </c>
      <c r="BB233" s="225">
        <f t="shared" si="118"/>
        <v>0</v>
      </c>
      <c r="BC233" s="225">
        <f t="shared" si="119"/>
        <v>0</v>
      </c>
      <c r="BD233" s="225">
        <f t="shared" si="120"/>
        <v>0</v>
      </c>
      <c r="BE233" s="225">
        <f t="shared" si="121"/>
        <v>0</v>
      </c>
      <c r="BF233" s="225">
        <f t="shared" si="122"/>
        <v>0</v>
      </c>
      <c r="BG233" s="225">
        <f t="shared" si="95"/>
        <v>0</v>
      </c>
      <c r="BH233" s="225">
        <f t="shared" si="96"/>
        <v>0</v>
      </c>
      <c r="BI233" s="225">
        <f t="shared" si="97"/>
        <v>0</v>
      </c>
      <c r="BJ233" s="225">
        <f t="shared" si="98"/>
        <v>0</v>
      </c>
      <c r="BK233" s="225">
        <f t="shared" si="99"/>
        <v>0</v>
      </c>
      <c r="BL233" s="225">
        <f t="shared" si="100"/>
        <v>0</v>
      </c>
      <c r="BM233" s="225">
        <f t="shared" si="101"/>
        <v>0</v>
      </c>
      <c r="BN233" s="225">
        <f t="shared" si="123"/>
        <v>0</v>
      </c>
      <c r="BO233" s="225">
        <f t="shared" si="102"/>
        <v>0</v>
      </c>
      <c r="BQ233" s="225"/>
      <c r="BR233" s="225"/>
    </row>
    <row r="234" spans="1:70">
      <c r="A234" s="168">
        <v>1108</v>
      </c>
      <c r="B234" s="2">
        <v>139731</v>
      </c>
      <c r="C234" s="2" t="s">
        <v>430</v>
      </c>
      <c r="F234" s="176">
        <v>0</v>
      </c>
      <c r="G234" s="176">
        <v>0</v>
      </c>
      <c r="H234" s="176">
        <v>0</v>
      </c>
      <c r="I234" s="176">
        <v>0</v>
      </c>
      <c r="J234" s="176">
        <v>0</v>
      </c>
      <c r="K234" s="176">
        <v>0</v>
      </c>
      <c r="L234" s="30">
        <f t="shared" si="125"/>
        <v>0</v>
      </c>
      <c r="M234" s="176">
        <f t="shared" si="126"/>
        <v>0</v>
      </c>
      <c r="O234" s="176">
        <v>0</v>
      </c>
      <c r="P234" s="176">
        <v>0</v>
      </c>
      <c r="Q234" s="176">
        <v>0</v>
      </c>
      <c r="R234" s="176">
        <v>0</v>
      </c>
      <c r="S234" s="176">
        <v>0</v>
      </c>
      <c r="T234" s="176">
        <v>0</v>
      </c>
      <c r="U234" s="176">
        <f t="shared" si="127"/>
        <v>0</v>
      </c>
      <c r="V234" s="176">
        <f t="shared" si="128"/>
        <v>0</v>
      </c>
      <c r="Y234" s="176">
        <v>0</v>
      </c>
      <c r="Z234" s="176">
        <v>0</v>
      </c>
      <c r="AA234" s="176">
        <v>0</v>
      </c>
      <c r="AB234" s="176">
        <v>0</v>
      </c>
      <c r="AC234" s="176">
        <v>0</v>
      </c>
      <c r="AD234" s="176">
        <f t="shared" si="129"/>
        <v>0</v>
      </c>
      <c r="AE234" s="247">
        <f t="shared" si="130"/>
        <v>0</v>
      </c>
      <c r="AG234" s="247">
        <v>0</v>
      </c>
      <c r="AH234" s="247">
        <v>0</v>
      </c>
      <c r="AI234" s="247">
        <v>0</v>
      </c>
      <c r="AK234" s="247">
        <f t="shared" si="110"/>
        <v>0</v>
      </c>
      <c r="AL234" s="247">
        <f t="shared" si="111"/>
        <v>0</v>
      </c>
      <c r="AM234" s="247">
        <f t="shared" si="112"/>
        <v>0</v>
      </c>
      <c r="AO234" s="225">
        <v>0</v>
      </c>
      <c r="AP234" s="225">
        <v>0</v>
      </c>
      <c r="AQ234" s="225">
        <v>0</v>
      </c>
      <c r="AR234" s="225">
        <v>0</v>
      </c>
      <c r="AS234" s="225">
        <v>0</v>
      </c>
      <c r="AT234" s="225">
        <v>0</v>
      </c>
      <c r="AU234" s="225">
        <v>0</v>
      </c>
      <c r="AV234" s="225">
        <f t="shared" si="113"/>
        <v>0</v>
      </c>
      <c r="AX234" s="225">
        <f t="shared" si="114"/>
        <v>0</v>
      </c>
      <c r="AY234" s="225">
        <f t="shared" si="115"/>
        <v>0</v>
      </c>
      <c r="AZ234" s="225">
        <f t="shared" si="116"/>
        <v>0</v>
      </c>
      <c r="BA234" s="225">
        <f t="shared" si="117"/>
        <v>0</v>
      </c>
      <c r="BB234" s="225">
        <f t="shared" si="118"/>
        <v>0</v>
      </c>
      <c r="BC234" s="225">
        <f t="shared" si="119"/>
        <v>0</v>
      </c>
      <c r="BD234" s="225">
        <f t="shared" si="120"/>
        <v>0</v>
      </c>
      <c r="BE234" s="225">
        <f t="shared" si="121"/>
        <v>0</v>
      </c>
      <c r="BF234" s="225">
        <f t="shared" si="122"/>
        <v>0</v>
      </c>
      <c r="BG234" s="225">
        <f t="shared" si="95"/>
        <v>0</v>
      </c>
      <c r="BH234" s="225">
        <f t="shared" si="96"/>
        <v>0</v>
      </c>
      <c r="BI234" s="225">
        <f t="shared" si="97"/>
        <v>0</v>
      </c>
      <c r="BJ234" s="225">
        <f t="shared" si="98"/>
        <v>0</v>
      </c>
      <c r="BK234" s="225">
        <f t="shared" si="99"/>
        <v>0</v>
      </c>
      <c r="BL234" s="225">
        <f t="shared" si="100"/>
        <v>0</v>
      </c>
      <c r="BM234" s="225">
        <f t="shared" si="101"/>
        <v>0</v>
      </c>
      <c r="BN234" s="225">
        <f t="shared" si="123"/>
        <v>0</v>
      </c>
      <c r="BO234" s="225">
        <f t="shared" si="102"/>
        <v>0</v>
      </c>
      <c r="BQ234" s="225"/>
      <c r="BR234" s="225"/>
    </row>
    <row r="235" spans="1:70">
      <c r="A235" s="168">
        <v>2126</v>
      </c>
      <c r="B235" s="2">
        <v>139439</v>
      </c>
      <c r="C235" s="2" t="s">
        <v>431</v>
      </c>
      <c r="F235" s="176">
        <v>0</v>
      </c>
      <c r="G235" s="176">
        <v>0</v>
      </c>
      <c r="H235" s="176">
        <v>0</v>
      </c>
      <c r="I235" s="176">
        <v>0</v>
      </c>
      <c r="J235" s="176">
        <v>0</v>
      </c>
      <c r="K235" s="176">
        <v>0</v>
      </c>
      <c r="L235" s="30">
        <f t="shared" si="125"/>
        <v>0</v>
      </c>
      <c r="M235" s="176">
        <f t="shared" si="126"/>
        <v>0</v>
      </c>
      <c r="O235" s="176">
        <v>0</v>
      </c>
      <c r="P235" s="176">
        <v>0</v>
      </c>
      <c r="Q235" s="176">
        <v>0</v>
      </c>
      <c r="R235" s="176">
        <v>0</v>
      </c>
      <c r="S235" s="176">
        <v>0</v>
      </c>
      <c r="T235" s="176">
        <v>0</v>
      </c>
      <c r="U235" s="176">
        <f t="shared" si="127"/>
        <v>0</v>
      </c>
      <c r="V235" s="176">
        <f t="shared" si="128"/>
        <v>0</v>
      </c>
      <c r="Y235" s="176">
        <v>0</v>
      </c>
      <c r="Z235" s="176">
        <v>0</v>
      </c>
      <c r="AA235" s="176">
        <v>0</v>
      </c>
      <c r="AB235" s="176">
        <v>0</v>
      </c>
      <c r="AC235" s="176">
        <v>0</v>
      </c>
      <c r="AD235" s="176">
        <f t="shared" si="129"/>
        <v>0</v>
      </c>
      <c r="AE235" s="247">
        <f t="shared" si="130"/>
        <v>0</v>
      </c>
      <c r="AG235" s="247">
        <v>0</v>
      </c>
      <c r="AH235" s="247">
        <v>0</v>
      </c>
      <c r="AI235" s="247">
        <v>0</v>
      </c>
      <c r="AK235" s="247">
        <f t="shared" si="110"/>
        <v>0</v>
      </c>
      <c r="AL235" s="247">
        <f t="shared" si="111"/>
        <v>0</v>
      </c>
      <c r="AM235" s="247">
        <f t="shared" si="112"/>
        <v>0</v>
      </c>
      <c r="AO235" s="225">
        <v>0</v>
      </c>
      <c r="AP235" s="225">
        <v>0</v>
      </c>
      <c r="AQ235" s="225">
        <v>0</v>
      </c>
      <c r="AR235" s="225">
        <v>0</v>
      </c>
      <c r="AS235" s="225">
        <v>0</v>
      </c>
      <c r="AT235" s="225">
        <v>0</v>
      </c>
      <c r="AU235" s="225">
        <v>0</v>
      </c>
      <c r="AV235" s="225">
        <f t="shared" si="113"/>
        <v>0</v>
      </c>
      <c r="AX235" s="225">
        <f t="shared" si="114"/>
        <v>0</v>
      </c>
      <c r="AY235" s="225">
        <f t="shared" si="115"/>
        <v>0</v>
      </c>
      <c r="AZ235" s="225">
        <f t="shared" si="116"/>
        <v>0</v>
      </c>
      <c r="BA235" s="225">
        <f t="shared" si="117"/>
        <v>0</v>
      </c>
      <c r="BB235" s="225">
        <f t="shared" si="118"/>
        <v>0</v>
      </c>
      <c r="BC235" s="225">
        <f t="shared" si="119"/>
        <v>0</v>
      </c>
      <c r="BD235" s="225">
        <f t="shared" si="120"/>
        <v>0</v>
      </c>
      <c r="BE235" s="225">
        <f t="shared" si="121"/>
        <v>0</v>
      </c>
      <c r="BF235" s="225">
        <f t="shared" si="122"/>
        <v>0</v>
      </c>
      <c r="BG235" s="225">
        <f t="shared" si="95"/>
        <v>0</v>
      </c>
      <c r="BH235" s="225">
        <f t="shared" si="96"/>
        <v>0</v>
      </c>
      <c r="BI235" s="225">
        <f t="shared" si="97"/>
        <v>0</v>
      </c>
      <c r="BJ235" s="225">
        <f t="shared" si="98"/>
        <v>0</v>
      </c>
      <c r="BK235" s="225">
        <f t="shared" si="99"/>
        <v>0</v>
      </c>
      <c r="BL235" s="225">
        <f t="shared" si="100"/>
        <v>0</v>
      </c>
      <c r="BM235" s="225">
        <f t="shared" si="101"/>
        <v>0</v>
      </c>
      <c r="BN235" s="225">
        <f t="shared" si="123"/>
        <v>0</v>
      </c>
      <c r="BO235" s="225">
        <f t="shared" si="102"/>
        <v>0</v>
      </c>
      <c r="BQ235" s="225"/>
      <c r="BR235" s="225"/>
    </row>
    <row r="236" spans="1:70">
      <c r="A236" s="168">
        <v>2273</v>
      </c>
      <c r="B236" s="2">
        <v>143091</v>
      </c>
      <c r="C236" s="2" t="s">
        <v>432</v>
      </c>
      <c r="F236" s="176">
        <v>0</v>
      </c>
      <c r="G236" s="176">
        <v>0</v>
      </c>
      <c r="H236" s="176">
        <v>0</v>
      </c>
      <c r="I236" s="176">
        <v>0</v>
      </c>
      <c r="J236" s="176">
        <v>0</v>
      </c>
      <c r="K236" s="176">
        <v>0</v>
      </c>
      <c r="L236" s="30">
        <f t="shared" si="125"/>
        <v>0</v>
      </c>
      <c r="M236" s="176">
        <f t="shared" si="126"/>
        <v>0</v>
      </c>
      <c r="O236" s="176">
        <v>0</v>
      </c>
      <c r="P236" s="176">
        <v>0</v>
      </c>
      <c r="Q236" s="176">
        <v>0</v>
      </c>
      <c r="R236" s="176">
        <v>0</v>
      </c>
      <c r="S236" s="176">
        <v>0</v>
      </c>
      <c r="T236" s="176">
        <v>0</v>
      </c>
      <c r="U236" s="176">
        <f t="shared" si="127"/>
        <v>0</v>
      </c>
      <c r="V236" s="176">
        <f t="shared" si="128"/>
        <v>0</v>
      </c>
      <c r="Y236" s="176">
        <v>0</v>
      </c>
      <c r="Z236" s="176">
        <v>0</v>
      </c>
      <c r="AA236" s="176">
        <v>0</v>
      </c>
      <c r="AB236" s="176">
        <v>0</v>
      </c>
      <c r="AC236" s="176">
        <v>0</v>
      </c>
      <c r="AD236" s="176">
        <f t="shared" si="129"/>
        <v>0</v>
      </c>
      <c r="AE236" s="247">
        <f t="shared" si="130"/>
        <v>0</v>
      </c>
      <c r="AG236" s="247">
        <v>0</v>
      </c>
      <c r="AH236" s="247">
        <v>0</v>
      </c>
      <c r="AI236" s="247">
        <v>0</v>
      </c>
      <c r="AK236" s="247">
        <f t="shared" si="110"/>
        <v>0</v>
      </c>
      <c r="AL236" s="247">
        <f t="shared" si="111"/>
        <v>0</v>
      </c>
      <c r="AM236" s="247">
        <f t="shared" si="112"/>
        <v>0</v>
      </c>
      <c r="AO236" s="225">
        <v>0</v>
      </c>
      <c r="AP236" s="225">
        <v>0</v>
      </c>
      <c r="AQ236" s="225">
        <v>0</v>
      </c>
      <c r="AR236" s="225">
        <v>0</v>
      </c>
      <c r="AS236" s="225">
        <v>0</v>
      </c>
      <c r="AT236" s="225">
        <v>0</v>
      </c>
      <c r="AU236" s="225">
        <v>0</v>
      </c>
      <c r="AV236" s="225">
        <f t="shared" si="113"/>
        <v>0</v>
      </c>
      <c r="AX236" s="225">
        <f t="shared" si="114"/>
        <v>0</v>
      </c>
      <c r="AY236" s="225">
        <f t="shared" si="115"/>
        <v>0</v>
      </c>
      <c r="AZ236" s="225">
        <f t="shared" si="116"/>
        <v>0</v>
      </c>
      <c r="BA236" s="225">
        <f t="shared" si="117"/>
        <v>0</v>
      </c>
      <c r="BB236" s="225">
        <f t="shared" si="118"/>
        <v>0</v>
      </c>
      <c r="BC236" s="225">
        <f t="shared" si="119"/>
        <v>0</v>
      </c>
      <c r="BD236" s="225">
        <f t="shared" si="120"/>
        <v>0</v>
      </c>
      <c r="BE236" s="225">
        <f t="shared" si="121"/>
        <v>0</v>
      </c>
      <c r="BF236" s="225">
        <f t="shared" si="122"/>
        <v>0</v>
      </c>
      <c r="BG236" s="225">
        <f t="shared" si="95"/>
        <v>0</v>
      </c>
      <c r="BH236" s="225">
        <f t="shared" si="96"/>
        <v>0</v>
      </c>
      <c r="BI236" s="225">
        <f t="shared" si="97"/>
        <v>0</v>
      </c>
      <c r="BJ236" s="225">
        <f t="shared" si="98"/>
        <v>0</v>
      </c>
      <c r="BK236" s="225">
        <f t="shared" si="99"/>
        <v>0</v>
      </c>
      <c r="BL236" s="225">
        <f t="shared" si="100"/>
        <v>0</v>
      </c>
      <c r="BM236" s="225">
        <f t="shared" si="101"/>
        <v>0</v>
      </c>
      <c r="BN236" s="225">
        <f t="shared" si="123"/>
        <v>0</v>
      </c>
      <c r="BO236" s="225">
        <f t="shared" si="102"/>
        <v>0</v>
      </c>
      <c r="BQ236" s="225"/>
      <c r="BR236" s="225"/>
    </row>
    <row r="237" spans="1:70">
      <c r="A237" s="168">
        <v>2145</v>
      </c>
      <c r="B237" s="2">
        <v>141206</v>
      </c>
      <c r="C237" s="2" t="s">
        <v>433</v>
      </c>
      <c r="F237" s="176">
        <v>0</v>
      </c>
      <c r="G237" s="176">
        <v>0</v>
      </c>
      <c r="H237" s="176">
        <v>0</v>
      </c>
      <c r="I237" s="176">
        <v>0</v>
      </c>
      <c r="J237" s="176">
        <v>0</v>
      </c>
      <c r="K237" s="176">
        <v>0</v>
      </c>
      <c r="L237" s="30">
        <f t="shared" si="125"/>
        <v>0</v>
      </c>
      <c r="M237" s="176">
        <f t="shared" si="126"/>
        <v>0</v>
      </c>
      <c r="O237" s="176">
        <v>0</v>
      </c>
      <c r="P237" s="176">
        <v>0</v>
      </c>
      <c r="Q237" s="176">
        <v>0</v>
      </c>
      <c r="R237" s="176">
        <v>0</v>
      </c>
      <c r="S237" s="176">
        <v>0</v>
      </c>
      <c r="T237" s="176">
        <v>0</v>
      </c>
      <c r="U237" s="176">
        <f t="shared" si="127"/>
        <v>0</v>
      </c>
      <c r="V237" s="176">
        <f t="shared" si="128"/>
        <v>0</v>
      </c>
      <c r="Y237" s="176">
        <v>0</v>
      </c>
      <c r="Z237" s="176">
        <v>0</v>
      </c>
      <c r="AA237" s="176">
        <v>0</v>
      </c>
      <c r="AB237" s="176">
        <v>0</v>
      </c>
      <c r="AC237" s="176">
        <v>0</v>
      </c>
      <c r="AD237" s="176">
        <f t="shared" si="129"/>
        <v>0</v>
      </c>
      <c r="AE237" s="247">
        <f t="shared" si="130"/>
        <v>0</v>
      </c>
      <c r="AG237" s="247">
        <v>0</v>
      </c>
      <c r="AH237" s="247">
        <v>0</v>
      </c>
      <c r="AI237" s="247">
        <v>0</v>
      </c>
      <c r="AK237" s="247">
        <f t="shared" si="110"/>
        <v>0</v>
      </c>
      <c r="AL237" s="247">
        <f t="shared" si="111"/>
        <v>0</v>
      </c>
      <c r="AM237" s="247">
        <f t="shared" si="112"/>
        <v>0</v>
      </c>
      <c r="AO237" s="225">
        <v>0</v>
      </c>
      <c r="AP237" s="225">
        <v>0</v>
      </c>
      <c r="AQ237" s="225">
        <v>0</v>
      </c>
      <c r="AR237" s="225">
        <v>0</v>
      </c>
      <c r="AS237" s="225">
        <v>0</v>
      </c>
      <c r="AT237" s="225">
        <v>0</v>
      </c>
      <c r="AU237" s="225">
        <v>0</v>
      </c>
      <c r="AV237" s="225">
        <f t="shared" si="113"/>
        <v>0</v>
      </c>
      <c r="AX237" s="225">
        <f t="shared" si="114"/>
        <v>0</v>
      </c>
      <c r="AY237" s="225">
        <f t="shared" si="115"/>
        <v>0</v>
      </c>
      <c r="AZ237" s="225">
        <f t="shared" si="116"/>
        <v>0</v>
      </c>
      <c r="BA237" s="225">
        <f t="shared" si="117"/>
        <v>0</v>
      </c>
      <c r="BB237" s="225">
        <f t="shared" si="118"/>
        <v>0</v>
      </c>
      <c r="BC237" s="225">
        <f t="shared" si="119"/>
        <v>0</v>
      </c>
      <c r="BD237" s="225">
        <f t="shared" si="120"/>
        <v>0</v>
      </c>
      <c r="BE237" s="225">
        <f t="shared" si="121"/>
        <v>0</v>
      </c>
      <c r="BF237" s="225">
        <f t="shared" si="122"/>
        <v>0</v>
      </c>
      <c r="BG237" s="225">
        <f t="shared" si="95"/>
        <v>0</v>
      </c>
      <c r="BH237" s="225">
        <f t="shared" si="96"/>
        <v>0</v>
      </c>
      <c r="BI237" s="225">
        <f t="shared" si="97"/>
        <v>0</v>
      </c>
      <c r="BJ237" s="225">
        <f t="shared" si="98"/>
        <v>0</v>
      </c>
      <c r="BK237" s="225">
        <f t="shared" si="99"/>
        <v>0</v>
      </c>
      <c r="BL237" s="225">
        <f t="shared" si="100"/>
        <v>0</v>
      </c>
      <c r="BM237" s="225">
        <f t="shared" si="101"/>
        <v>0</v>
      </c>
      <c r="BN237" s="225">
        <f t="shared" si="123"/>
        <v>0</v>
      </c>
      <c r="BO237" s="225">
        <f t="shared" si="102"/>
        <v>0</v>
      </c>
      <c r="BQ237" s="225"/>
      <c r="BR237" s="225"/>
    </row>
    <row r="238" spans="1:70">
      <c r="A238" s="168">
        <v>4040</v>
      </c>
      <c r="B238" s="2">
        <v>148521</v>
      </c>
      <c r="C238" s="2" t="s">
        <v>434</v>
      </c>
      <c r="F238" s="176">
        <v>0</v>
      </c>
      <c r="G238" s="176">
        <v>0</v>
      </c>
      <c r="H238" s="176">
        <v>0</v>
      </c>
      <c r="I238" s="176">
        <v>0</v>
      </c>
      <c r="J238" s="176">
        <v>0</v>
      </c>
      <c r="K238" s="176">
        <v>0</v>
      </c>
      <c r="L238" s="30">
        <f t="shared" si="125"/>
        <v>0</v>
      </c>
      <c r="M238" s="176">
        <f t="shared" si="126"/>
        <v>0</v>
      </c>
      <c r="O238" s="176">
        <v>0</v>
      </c>
      <c r="P238" s="176">
        <v>0</v>
      </c>
      <c r="Q238" s="176">
        <v>0</v>
      </c>
      <c r="R238" s="176">
        <v>0</v>
      </c>
      <c r="S238" s="176">
        <v>0</v>
      </c>
      <c r="T238" s="176">
        <v>0</v>
      </c>
      <c r="U238" s="176">
        <f t="shared" si="127"/>
        <v>0</v>
      </c>
      <c r="V238" s="176">
        <f t="shared" si="128"/>
        <v>0</v>
      </c>
      <c r="Y238" s="176">
        <v>0</v>
      </c>
      <c r="Z238" s="176">
        <v>0</v>
      </c>
      <c r="AA238" s="176">
        <v>0</v>
      </c>
      <c r="AB238" s="176">
        <v>0</v>
      </c>
      <c r="AC238" s="176">
        <v>0</v>
      </c>
      <c r="AD238" s="176">
        <f t="shared" si="129"/>
        <v>0</v>
      </c>
      <c r="AE238" s="247">
        <f t="shared" si="130"/>
        <v>0</v>
      </c>
      <c r="AG238" s="247">
        <v>0</v>
      </c>
      <c r="AH238" s="247">
        <v>0</v>
      </c>
      <c r="AI238" s="247">
        <v>0</v>
      </c>
      <c r="AK238" s="247">
        <f t="shared" si="110"/>
        <v>0</v>
      </c>
      <c r="AL238" s="247">
        <f t="shared" si="111"/>
        <v>0</v>
      </c>
      <c r="AM238" s="247">
        <f t="shared" si="112"/>
        <v>0</v>
      </c>
      <c r="AO238" s="225">
        <v>0</v>
      </c>
      <c r="AP238" s="225">
        <v>0</v>
      </c>
      <c r="AQ238" s="225">
        <v>0</v>
      </c>
      <c r="AR238" s="225">
        <v>0</v>
      </c>
      <c r="AS238" s="225">
        <v>0</v>
      </c>
      <c r="AT238" s="225">
        <v>0</v>
      </c>
      <c r="AU238" s="225">
        <v>0</v>
      </c>
      <c r="AV238" s="225">
        <f t="shared" si="113"/>
        <v>0</v>
      </c>
      <c r="AX238" s="225">
        <f t="shared" si="114"/>
        <v>0</v>
      </c>
      <c r="AY238" s="225">
        <f t="shared" si="115"/>
        <v>0</v>
      </c>
      <c r="AZ238" s="225">
        <f t="shared" si="116"/>
        <v>0</v>
      </c>
      <c r="BA238" s="225">
        <f t="shared" si="117"/>
        <v>0</v>
      </c>
      <c r="BB238" s="225">
        <f t="shared" si="118"/>
        <v>0</v>
      </c>
      <c r="BC238" s="225">
        <f t="shared" si="119"/>
        <v>0</v>
      </c>
      <c r="BD238" s="225">
        <f t="shared" si="120"/>
        <v>0</v>
      </c>
      <c r="BE238" s="225">
        <f t="shared" si="121"/>
        <v>0</v>
      </c>
      <c r="BF238" s="225">
        <f t="shared" si="122"/>
        <v>0</v>
      </c>
      <c r="BG238" s="225">
        <f t="shared" si="95"/>
        <v>0</v>
      </c>
      <c r="BH238" s="225">
        <f t="shared" si="96"/>
        <v>0</v>
      </c>
      <c r="BI238" s="225">
        <f t="shared" si="97"/>
        <v>0</v>
      </c>
      <c r="BJ238" s="225">
        <f t="shared" si="98"/>
        <v>0</v>
      </c>
      <c r="BK238" s="225">
        <f t="shared" si="99"/>
        <v>0</v>
      </c>
      <c r="BL238" s="225">
        <f t="shared" si="100"/>
        <v>0</v>
      </c>
      <c r="BM238" s="225">
        <f t="shared" si="101"/>
        <v>0</v>
      </c>
      <c r="BN238" s="225">
        <f t="shared" si="123"/>
        <v>0</v>
      </c>
      <c r="BO238" s="225">
        <f t="shared" si="102"/>
        <v>0</v>
      </c>
      <c r="BQ238" s="225"/>
      <c r="BR238" s="225"/>
    </row>
    <row r="239" spans="1:70">
      <c r="A239" s="168">
        <v>2175</v>
      </c>
      <c r="B239" s="2">
        <v>144390</v>
      </c>
      <c r="C239" s="2" t="s">
        <v>435</v>
      </c>
      <c r="F239" s="176">
        <v>0</v>
      </c>
      <c r="G239" s="176">
        <v>0</v>
      </c>
      <c r="H239" s="176">
        <v>0</v>
      </c>
      <c r="I239" s="176">
        <v>0</v>
      </c>
      <c r="J239" s="176">
        <v>0</v>
      </c>
      <c r="K239" s="176">
        <v>0</v>
      </c>
      <c r="L239" s="30">
        <f t="shared" si="125"/>
        <v>0</v>
      </c>
      <c r="M239" s="176">
        <f t="shared" si="126"/>
        <v>0</v>
      </c>
      <c r="O239" s="176">
        <v>0</v>
      </c>
      <c r="P239" s="176">
        <v>0</v>
      </c>
      <c r="Q239" s="176">
        <v>0</v>
      </c>
      <c r="R239" s="176">
        <v>0</v>
      </c>
      <c r="S239" s="176">
        <v>0</v>
      </c>
      <c r="T239" s="176">
        <v>0</v>
      </c>
      <c r="U239" s="176">
        <f t="shared" si="127"/>
        <v>0</v>
      </c>
      <c r="V239" s="176">
        <f t="shared" si="128"/>
        <v>0</v>
      </c>
      <c r="Y239" s="176">
        <v>0</v>
      </c>
      <c r="Z239" s="176">
        <v>0</v>
      </c>
      <c r="AA239" s="176">
        <v>0</v>
      </c>
      <c r="AB239" s="176">
        <v>0</v>
      </c>
      <c r="AC239" s="176">
        <v>0</v>
      </c>
      <c r="AD239" s="176">
        <f t="shared" si="129"/>
        <v>0</v>
      </c>
      <c r="AE239" s="247">
        <f t="shared" si="130"/>
        <v>0</v>
      </c>
      <c r="AG239" s="247">
        <v>0</v>
      </c>
      <c r="AH239" s="247">
        <v>0</v>
      </c>
      <c r="AI239" s="247">
        <v>0</v>
      </c>
      <c r="AK239" s="247">
        <f t="shared" si="110"/>
        <v>0</v>
      </c>
      <c r="AL239" s="247">
        <f t="shared" si="111"/>
        <v>0</v>
      </c>
      <c r="AM239" s="247">
        <f t="shared" si="112"/>
        <v>0</v>
      </c>
      <c r="AO239" s="225">
        <v>0</v>
      </c>
      <c r="AP239" s="225">
        <v>0</v>
      </c>
      <c r="AQ239" s="225">
        <v>0</v>
      </c>
      <c r="AR239" s="225">
        <v>0</v>
      </c>
      <c r="AS239" s="225">
        <v>0</v>
      </c>
      <c r="AT239" s="225">
        <v>0</v>
      </c>
      <c r="AU239" s="225">
        <v>0</v>
      </c>
      <c r="AV239" s="225">
        <f t="shared" si="113"/>
        <v>0</v>
      </c>
      <c r="AX239" s="225">
        <f t="shared" si="114"/>
        <v>0</v>
      </c>
      <c r="AY239" s="225">
        <f t="shared" si="115"/>
        <v>0</v>
      </c>
      <c r="AZ239" s="225">
        <f t="shared" si="116"/>
        <v>0</v>
      </c>
      <c r="BA239" s="225">
        <f t="shared" si="117"/>
        <v>0</v>
      </c>
      <c r="BB239" s="225">
        <f t="shared" si="118"/>
        <v>0</v>
      </c>
      <c r="BC239" s="225">
        <f t="shared" si="119"/>
        <v>0</v>
      </c>
      <c r="BD239" s="225">
        <f t="shared" si="120"/>
        <v>0</v>
      </c>
      <c r="BE239" s="225">
        <f t="shared" si="121"/>
        <v>0</v>
      </c>
      <c r="BF239" s="225">
        <f t="shared" si="122"/>
        <v>0</v>
      </c>
      <c r="BG239" s="225">
        <f t="shared" si="95"/>
        <v>0</v>
      </c>
      <c r="BH239" s="225">
        <f t="shared" si="96"/>
        <v>0</v>
      </c>
      <c r="BI239" s="225">
        <f t="shared" si="97"/>
        <v>0</v>
      </c>
      <c r="BJ239" s="225">
        <f t="shared" si="98"/>
        <v>0</v>
      </c>
      <c r="BK239" s="225">
        <f t="shared" si="99"/>
        <v>0</v>
      </c>
      <c r="BL239" s="225">
        <f t="shared" si="100"/>
        <v>0</v>
      </c>
      <c r="BM239" s="225">
        <f t="shared" si="101"/>
        <v>0</v>
      </c>
      <c r="BN239" s="225">
        <f t="shared" si="123"/>
        <v>0</v>
      </c>
      <c r="BO239" s="225">
        <f t="shared" si="102"/>
        <v>0</v>
      </c>
      <c r="BQ239" s="225"/>
      <c r="BR239" s="225"/>
    </row>
    <row r="240" spans="1:70">
      <c r="A240" s="168">
        <v>2449</v>
      </c>
      <c r="B240" s="2">
        <v>140518</v>
      </c>
      <c r="C240" s="2" t="s">
        <v>436</v>
      </c>
      <c r="F240" s="176">
        <v>0</v>
      </c>
      <c r="G240" s="176">
        <v>0</v>
      </c>
      <c r="H240" s="176">
        <v>40836.9</v>
      </c>
      <c r="I240" s="176">
        <v>195</v>
      </c>
      <c r="J240" s="176">
        <v>0</v>
      </c>
      <c r="K240" s="176">
        <v>0</v>
      </c>
      <c r="L240" s="30">
        <f t="shared" si="125"/>
        <v>41031.9</v>
      </c>
      <c r="M240" s="176">
        <f t="shared" si="126"/>
        <v>32825.520000000004</v>
      </c>
      <c r="O240" s="176">
        <v>0</v>
      </c>
      <c r="P240" s="176">
        <v>0</v>
      </c>
      <c r="Q240" s="176">
        <v>38629.5</v>
      </c>
      <c r="R240" s="176">
        <v>3510</v>
      </c>
      <c r="S240" s="176">
        <v>1342.421052631579</v>
      </c>
      <c r="T240" s="176">
        <v>0</v>
      </c>
      <c r="U240" s="176">
        <f t="shared" si="127"/>
        <v>43481.92105263158</v>
      </c>
      <c r="V240" s="176">
        <f t="shared" si="128"/>
        <v>34785.536842105263</v>
      </c>
      <c r="Y240" s="176">
        <v>0</v>
      </c>
      <c r="Z240" s="176">
        <v>34746.442105263159</v>
      </c>
      <c r="AA240" s="176">
        <v>2103.1578947368421</v>
      </c>
      <c r="AB240" s="176">
        <v>760.88642659279776</v>
      </c>
      <c r="AC240" s="176">
        <v>0</v>
      </c>
      <c r="AD240" s="176">
        <f t="shared" si="129"/>
        <v>37610.486426592797</v>
      </c>
      <c r="AE240" s="247">
        <f t="shared" si="130"/>
        <v>30088.389141274238</v>
      </c>
      <c r="AG240" s="247">
        <v>2827.5</v>
      </c>
      <c r="AH240" s="247">
        <v>2874.3</v>
      </c>
      <c r="AI240" s="247">
        <v>2546.5263157894733</v>
      </c>
      <c r="AK240" s="247">
        <f t="shared" si="110"/>
        <v>2262</v>
      </c>
      <c r="AL240" s="247">
        <f t="shared" si="111"/>
        <v>2299.44</v>
      </c>
      <c r="AM240" s="247">
        <f t="shared" si="112"/>
        <v>2037.2210526315787</v>
      </c>
      <c r="AO240" s="225">
        <v>0</v>
      </c>
      <c r="AP240" s="225">
        <v>0</v>
      </c>
      <c r="AQ240" s="225">
        <v>45251.7</v>
      </c>
      <c r="AR240" s="225">
        <v>4485</v>
      </c>
      <c r="AS240" s="225">
        <v>1715.3157894736842</v>
      </c>
      <c r="AT240" s="225">
        <v>0</v>
      </c>
      <c r="AU240" s="225">
        <v>3225.2999999999997</v>
      </c>
      <c r="AV240" s="225">
        <f t="shared" si="113"/>
        <v>54677.315789473687</v>
      </c>
      <c r="AX240" s="225">
        <f t="shared" si="114"/>
        <v>0</v>
      </c>
      <c r="AY240" s="225">
        <f t="shared" si="115"/>
        <v>0</v>
      </c>
      <c r="AZ240" s="225">
        <f t="shared" si="116"/>
        <v>4414.7999999999956</v>
      </c>
      <c r="BA240" s="225">
        <f t="shared" si="117"/>
        <v>4290</v>
      </c>
      <c r="BB240" s="225">
        <f t="shared" si="118"/>
        <v>1715.3157894736842</v>
      </c>
      <c r="BC240" s="225">
        <f t="shared" si="119"/>
        <v>0</v>
      </c>
      <c r="BD240" s="225">
        <f t="shared" si="120"/>
        <v>397.79999999999973</v>
      </c>
      <c r="BE240" s="225">
        <f t="shared" si="121"/>
        <v>10817.915789473678</v>
      </c>
      <c r="BF240" s="225">
        <f t="shared" si="122"/>
        <v>0</v>
      </c>
      <c r="BG240" s="225">
        <f t="shared" si="95"/>
        <v>0</v>
      </c>
      <c r="BH240" s="225">
        <f t="shared" si="96"/>
        <v>0</v>
      </c>
      <c r="BI240" s="225">
        <f t="shared" si="97"/>
        <v>12582.179999999993</v>
      </c>
      <c r="BJ240" s="225">
        <f t="shared" si="98"/>
        <v>4329</v>
      </c>
      <c r="BK240" s="225">
        <f t="shared" si="99"/>
        <v>1715.3157894736842</v>
      </c>
      <c r="BL240" s="225">
        <f t="shared" si="100"/>
        <v>0</v>
      </c>
      <c r="BM240" s="225">
        <f t="shared" si="101"/>
        <v>963.29999999999973</v>
      </c>
      <c r="BN240" s="225">
        <f t="shared" si="123"/>
        <v>19589.795789473676</v>
      </c>
      <c r="BO240" s="225">
        <f t="shared" si="102"/>
        <v>0</v>
      </c>
      <c r="BQ240" s="225"/>
      <c r="BR240" s="225"/>
    </row>
    <row r="241" spans="1:70">
      <c r="A241" s="168">
        <v>2068</v>
      </c>
      <c r="B241" s="2">
        <v>138303</v>
      </c>
      <c r="C241" s="2" t="s">
        <v>437</v>
      </c>
      <c r="F241" s="176">
        <v>0</v>
      </c>
      <c r="G241" s="176">
        <v>0</v>
      </c>
      <c r="H241" s="176">
        <v>41940.600000000006</v>
      </c>
      <c r="I241" s="176">
        <v>2730</v>
      </c>
      <c r="J241" s="176">
        <v>1044.1052631578948</v>
      </c>
      <c r="K241" s="176">
        <v>0</v>
      </c>
      <c r="L241" s="30">
        <f t="shared" si="125"/>
        <v>45714.705263157899</v>
      </c>
      <c r="M241" s="176">
        <f t="shared" si="126"/>
        <v>36571.764210526322</v>
      </c>
      <c r="O241" s="176">
        <v>0</v>
      </c>
      <c r="P241" s="176">
        <v>0</v>
      </c>
      <c r="Q241" s="176">
        <v>29799.9</v>
      </c>
      <c r="R241" s="176">
        <v>2145</v>
      </c>
      <c r="S241" s="176">
        <v>820.36842105263156</v>
      </c>
      <c r="T241" s="176">
        <v>320.89473684210526</v>
      </c>
      <c r="U241" s="176">
        <f t="shared" si="127"/>
        <v>33086.163157894734</v>
      </c>
      <c r="V241" s="176">
        <f t="shared" si="128"/>
        <v>26468.930526315788</v>
      </c>
      <c r="Y241" s="176">
        <v>0</v>
      </c>
      <c r="Z241" s="176">
        <v>31850.905263157896</v>
      </c>
      <c r="AA241" s="176">
        <v>2046.3157894736842</v>
      </c>
      <c r="AB241" s="176">
        <v>782.6260387811634</v>
      </c>
      <c r="AC241" s="176">
        <v>93.54016620498615</v>
      </c>
      <c r="AD241" s="176">
        <f t="shared" si="129"/>
        <v>34773.387257617731</v>
      </c>
      <c r="AE241" s="247">
        <f t="shared" si="130"/>
        <v>27818.709806094186</v>
      </c>
      <c r="AG241" s="247">
        <v>2472.6</v>
      </c>
      <c r="AH241" s="247">
        <v>1604.8500000000001</v>
      </c>
      <c r="AI241" s="247">
        <v>1876.3578947368419</v>
      </c>
      <c r="AK241" s="247">
        <f t="shared" si="110"/>
        <v>1978.08</v>
      </c>
      <c r="AL241" s="247">
        <f t="shared" si="111"/>
        <v>1283.8800000000001</v>
      </c>
      <c r="AM241" s="247">
        <f t="shared" si="112"/>
        <v>1501.0863157894737</v>
      </c>
      <c r="AO241" s="225">
        <v>0</v>
      </c>
      <c r="AP241" s="225">
        <v>0</v>
      </c>
      <c r="AQ241" s="225">
        <v>38629.5</v>
      </c>
      <c r="AR241" s="225">
        <v>1950</v>
      </c>
      <c r="AS241" s="225">
        <v>745.78947368421052</v>
      </c>
      <c r="AT241" s="225">
        <v>320.89</v>
      </c>
      <c r="AU241" s="225">
        <v>1768.6499999999999</v>
      </c>
      <c r="AV241" s="225">
        <f t="shared" si="113"/>
        <v>43414.829473684214</v>
      </c>
      <c r="AX241" s="225">
        <f t="shared" si="114"/>
        <v>0</v>
      </c>
      <c r="AY241" s="225">
        <f t="shared" si="115"/>
        <v>0</v>
      </c>
      <c r="AZ241" s="225">
        <f t="shared" si="116"/>
        <v>-3311.1000000000058</v>
      </c>
      <c r="BA241" s="225">
        <f t="shared" si="117"/>
        <v>-780</v>
      </c>
      <c r="BB241" s="225">
        <f t="shared" si="118"/>
        <v>-298.31578947368428</v>
      </c>
      <c r="BC241" s="225">
        <f t="shared" si="119"/>
        <v>320.89</v>
      </c>
      <c r="BD241" s="225">
        <f t="shared" si="120"/>
        <v>-703.95</v>
      </c>
      <c r="BE241" s="225">
        <f t="shared" si="121"/>
        <v>-4772.4757894736904</v>
      </c>
      <c r="BF241" s="225">
        <f t="shared" si="122"/>
        <v>0</v>
      </c>
      <c r="BG241" s="225">
        <f t="shared" si="95"/>
        <v>0</v>
      </c>
      <c r="BH241" s="225">
        <f t="shared" si="96"/>
        <v>0</v>
      </c>
      <c r="BI241" s="225">
        <f t="shared" si="97"/>
        <v>5077.0199999999968</v>
      </c>
      <c r="BJ241" s="225">
        <f t="shared" si="98"/>
        <v>-234</v>
      </c>
      <c r="BK241" s="225">
        <f t="shared" si="99"/>
        <v>-89.49473684210534</v>
      </c>
      <c r="BL241" s="225">
        <f t="shared" si="100"/>
        <v>320.89</v>
      </c>
      <c r="BM241" s="225">
        <f t="shared" si="101"/>
        <v>-209.43000000000006</v>
      </c>
      <c r="BN241" s="225">
        <f t="shared" si="123"/>
        <v>4864.9852631578915</v>
      </c>
      <c r="BO241" s="225">
        <f t="shared" si="102"/>
        <v>0</v>
      </c>
      <c r="BQ241" s="225"/>
      <c r="BR241" s="225"/>
    </row>
    <row r="242" spans="1:70">
      <c r="A242" s="168">
        <v>4084</v>
      </c>
      <c r="B242" s="2">
        <v>139888</v>
      </c>
      <c r="C242" s="2" t="s">
        <v>438</v>
      </c>
      <c r="F242" s="176">
        <v>0</v>
      </c>
      <c r="G242" s="176">
        <v>0</v>
      </c>
      <c r="H242" s="176">
        <v>0</v>
      </c>
      <c r="I242" s="176">
        <v>0</v>
      </c>
      <c r="J242" s="176">
        <v>0</v>
      </c>
      <c r="K242" s="176">
        <v>0</v>
      </c>
      <c r="L242" s="30">
        <f t="shared" si="125"/>
        <v>0</v>
      </c>
      <c r="M242" s="176">
        <f t="shared" si="126"/>
        <v>0</v>
      </c>
      <c r="O242" s="176">
        <v>0</v>
      </c>
      <c r="P242" s="176">
        <v>0</v>
      </c>
      <c r="Q242" s="176">
        <v>0</v>
      </c>
      <c r="R242" s="176">
        <v>0</v>
      </c>
      <c r="S242" s="176">
        <v>0</v>
      </c>
      <c r="T242" s="176">
        <v>0</v>
      </c>
      <c r="U242" s="176">
        <f t="shared" si="127"/>
        <v>0</v>
      </c>
      <c r="V242" s="176">
        <f t="shared" si="128"/>
        <v>0</v>
      </c>
      <c r="Y242" s="176">
        <v>0</v>
      </c>
      <c r="Z242" s="176">
        <v>0</v>
      </c>
      <c r="AA242" s="176">
        <v>0</v>
      </c>
      <c r="AB242" s="176">
        <v>0</v>
      </c>
      <c r="AC242" s="176">
        <v>0</v>
      </c>
      <c r="AD242" s="176">
        <f t="shared" si="129"/>
        <v>0</v>
      </c>
      <c r="AE242" s="247">
        <f t="shared" si="130"/>
        <v>0</v>
      </c>
      <c r="AG242" s="247">
        <v>0</v>
      </c>
      <c r="AH242" s="247">
        <v>0</v>
      </c>
      <c r="AI242" s="247">
        <v>0</v>
      </c>
      <c r="AK242" s="247">
        <f t="shared" si="110"/>
        <v>0</v>
      </c>
      <c r="AL242" s="247">
        <f t="shared" si="111"/>
        <v>0</v>
      </c>
      <c r="AM242" s="247">
        <f t="shared" si="112"/>
        <v>0</v>
      </c>
      <c r="AO242" s="225">
        <v>0</v>
      </c>
      <c r="AP242" s="225">
        <v>0</v>
      </c>
      <c r="AQ242" s="225">
        <v>0</v>
      </c>
      <c r="AR242" s="225">
        <v>0</v>
      </c>
      <c r="AS242" s="225">
        <v>0</v>
      </c>
      <c r="AT242" s="225">
        <v>0</v>
      </c>
      <c r="AU242" s="225">
        <v>0</v>
      </c>
      <c r="AV242" s="225">
        <f t="shared" si="113"/>
        <v>0</v>
      </c>
      <c r="AX242" s="225">
        <f t="shared" si="114"/>
        <v>0</v>
      </c>
      <c r="AY242" s="225">
        <f t="shared" si="115"/>
        <v>0</v>
      </c>
      <c r="AZ242" s="225">
        <f t="shared" si="116"/>
        <v>0</v>
      </c>
      <c r="BA242" s="225">
        <f t="shared" si="117"/>
        <v>0</v>
      </c>
      <c r="BB242" s="225">
        <f t="shared" si="118"/>
        <v>0</v>
      </c>
      <c r="BC242" s="225">
        <f t="shared" si="119"/>
        <v>0</v>
      </c>
      <c r="BD242" s="225">
        <f t="shared" si="120"/>
        <v>0</v>
      </c>
      <c r="BE242" s="225">
        <f t="shared" si="121"/>
        <v>0</v>
      </c>
      <c r="BF242" s="225">
        <f t="shared" si="122"/>
        <v>0</v>
      </c>
      <c r="BG242" s="225">
        <f t="shared" si="95"/>
        <v>0</v>
      </c>
      <c r="BH242" s="225">
        <f t="shared" si="96"/>
        <v>0</v>
      </c>
      <c r="BI242" s="225">
        <f t="shared" si="97"/>
        <v>0</v>
      </c>
      <c r="BJ242" s="225">
        <f t="shared" si="98"/>
        <v>0</v>
      </c>
      <c r="BK242" s="225">
        <f t="shared" si="99"/>
        <v>0</v>
      </c>
      <c r="BL242" s="225">
        <f t="shared" si="100"/>
        <v>0</v>
      </c>
      <c r="BM242" s="225">
        <f t="shared" si="101"/>
        <v>0</v>
      </c>
      <c r="BN242" s="225">
        <f t="shared" si="123"/>
        <v>0</v>
      </c>
      <c r="BO242" s="225">
        <f t="shared" si="102"/>
        <v>0</v>
      </c>
      <c r="BQ242" s="225"/>
      <c r="BR242" s="225"/>
    </row>
    <row r="243" spans="1:70">
      <c r="A243" s="168">
        <v>4009</v>
      </c>
      <c r="B243" s="2">
        <v>142219</v>
      </c>
      <c r="C243" s="2" t="s">
        <v>439</v>
      </c>
      <c r="F243" s="176">
        <v>0</v>
      </c>
      <c r="G243" s="176">
        <v>0</v>
      </c>
      <c r="H243" s="176">
        <v>0</v>
      </c>
      <c r="I243" s="176">
        <v>0</v>
      </c>
      <c r="J243" s="176">
        <v>0</v>
      </c>
      <c r="K243" s="176">
        <v>0</v>
      </c>
      <c r="L243" s="30">
        <f t="shared" si="125"/>
        <v>0</v>
      </c>
      <c r="M243" s="176">
        <f t="shared" si="126"/>
        <v>0</v>
      </c>
      <c r="O243" s="176">
        <v>0</v>
      </c>
      <c r="P243" s="176">
        <v>0</v>
      </c>
      <c r="Q243" s="176">
        <v>0</v>
      </c>
      <c r="R243" s="176">
        <v>0</v>
      </c>
      <c r="S243" s="176">
        <v>0</v>
      </c>
      <c r="T243" s="176">
        <v>0</v>
      </c>
      <c r="U243" s="176">
        <f t="shared" si="127"/>
        <v>0</v>
      </c>
      <c r="V243" s="176">
        <f t="shared" si="128"/>
        <v>0</v>
      </c>
      <c r="Y243" s="176">
        <v>0</v>
      </c>
      <c r="Z243" s="176">
        <v>0</v>
      </c>
      <c r="AA243" s="176">
        <v>0</v>
      </c>
      <c r="AB243" s="176">
        <v>0</v>
      </c>
      <c r="AC243" s="176">
        <v>0</v>
      </c>
      <c r="AD243" s="176">
        <f t="shared" si="129"/>
        <v>0</v>
      </c>
      <c r="AE243" s="247">
        <f t="shared" si="130"/>
        <v>0</v>
      </c>
      <c r="AG243" s="247">
        <v>0</v>
      </c>
      <c r="AH243" s="247">
        <v>0</v>
      </c>
      <c r="AI243" s="247">
        <v>0</v>
      </c>
      <c r="AK243" s="247">
        <f t="shared" si="110"/>
        <v>0</v>
      </c>
      <c r="AL243" s="247">
        <f t="shared" si="111"/>
        <v>0</v>
      </c>
      <c r="AM243" s="247">
        <f t="shared" si="112"/>
        <v>0</v>
      </c>
      <c r="AO243" s="225">
        <v>0</v>
      </c>
      <c r="AP243" s="225">
        <v>0</v>
      </c>
      <c r="AQ243" s="225">
        <v>0</v>
      </c>
      <c r="AR243" s="225">
        <v>0</v>
      </c>
      <c r="AS243" s="225">
        <v>0</v>
      </c>
      <c r="AT243" s="225">
        <v>0</v>
      </c>
      <c r="AU243" s="225">
        <v>0</v>
      </c>
      <c r="AV243" s="225">
        <f t="shared" si="113"/>
        <v>0</v>
      </c>
      <c r="AX243" s="225">
        <f t="shared" si="114"/>
        <v>0</v>
      </c>
      <c r="AY243" s="225">
        <f t="shared" si="115"/>
        <v>0</v>
      </c>
      <c r="AZ243" s="225">
        <f t="shared" si="116"/>
        <v>0</v>
      </c>
      <c r="BA243" s="225">
        <f t="shared" si="117"/>
        <v>0</v>
      </c>
      <c r="BB243" s="225">
        <f t="shared" si="118"/>
        <v>0</v>
      </c>
      <c r="BC243" s="225">
        <f t="shared" si="119"/>
        <v>0</v>
      </c>
      <c r="BD243" s="225">
        <f t="shared" si="120"/>
        <v>0</v>
      </c>
      <c r="BE243" s="225">
        <f t="shared" si="121"/>
        <v>0</v>
      </c>
      <c r="BF243" s="225">
        <f t="shared" si="122"/>
        <v>0</v>
      </c>
      <c r="BG243" s="225">
        <f t="shared" si="95"/>
        <v>0</v>
      </c>
      <c r="BH243" s="225">
        <f t="shared" si="96"/>
        <v>0</v>
      </c>
      <c r="BI243" s="225">
        <f t="shared" si="97"/>
        <v>0</v>
      </c>
      <c r="BJ243" s="225">
        <f t="shared" si="98"/>
        <v>0</v>
      </c>
      <c r="BK243" s="225">
        <f t="shared" si="99"/>
        <v>0</v>
      </c>
      <c r="BL243" s="225">
        <f t="shared" si="100"/>
        <v>0</v>
      </c>
      <c r="BM243" s="225">
        <f t="shared" si="101"/>
        <v>0</v>
      </c>
      <c r="BN243" s="225">
        <f t="shared" si="123"/>
        <v>0</v>
      </c>
      <c r="BO243" s="225">
        <f t="shared" si="102"/>
        <v>0</v>
      </c>
      <c r="BQ243" s="225"/>
      <c r="BR243" s="225"/>
    </row>
    <row r="244" spans="1:70">
      <c r="A244" s="168">
        <v>4010</v>
      </c>
      <c r="B244" s="2">
        <v>139788</v>
      </c>
      <c r="C244" s="2" t="s">
        <v>440</v>
      </c>
      <c r="F244" s="176">
        <v>0</v>
      </c>
      <c r="G244" s="176">
        <v>0</v>
      </c>
      <c r="H244" s="176">
        <v>0</v>
      </c>
      <c r="I244" s="176">
        <v>0</v>
      </c>
      <c r="J244" s="176">
        <v>0</v>
      </c>
      <c r="K244" s="176">
        <v>0</v>
      </c>
      <c r="L244" s="30">
        <f t="shared" si="125"/>
        <v>0</v>
      </c>
      <c r="M244" s="176">
        <f t="shared" si="126"/>
        <v>0</v>
      </c>
      <c r="O244" s="176">
        <v>0</v>
      </c>
      <c r="P244" s="176">
        <v>0</v>
      </c>
      <c r="Q244" s="176">
        <v>0</v>
      </c>
      <c r="R244" s="176">
        <v>0</v>
      </c>
      <c r="S244" s="176">
        <v>0</v>
      </c>
      <c r="T244" s="176">
        <v>0</v>
      </c>
      <c r="U244" s="176">
        <f t="shared" si="127"/>
        <v>0</v>
      </c>
      <c r="V244" s="176">
        <f t="shared" si="128"/>
        <v>0</v>
      </c>
      <c r="Y244" s="176">
        <v>0</v>
      </c>
      <c r="Z244" s="176">
        <v>0</v>
      </c>
      <c r="AA244" s="176">
        <v>0</v>
      </c>
      <c r="AB244" s="176">
        <v>0</v>
      </c>
      <c r="AC244" s="176">
        <v>0</v>
      </c>
      <c r="AD244" s="176">
        <f t="shared" si="129"/>
        <v>0</v>
      </c>
      <c r="AE244" s="247">
        <f t="shared" si="130"/>
        <v>0</v>
      </c>
      <c r="AG244" s="247">
        <v>0</v>
      </c>
      <c r="AH244" s="247">
        <v>0</v>
      </c>
      <c r="AI244" s="247">
        <v>0</v>
      </c>
      <c r="AK244" s="247">
        <f t="shared" si="110"/>
        <v>0</v>
      </c>
      <c r="AL244" s="247">
        <f t="shared" si="111"/>
        <v>0</v>
      </c>
      <c r="AM244" s="247">
        <f t="shared" si="112"/>
        <v>0</v>
      </c>
      <c r="AO244" s="225">
        <v>0</v>
      </c>
      <c r="AP244" s="225">
        <v>0</v>
      </c>
      <c r="AQ244" s="225">
        <v>0</v>
      </c>
      <c r="AR244" s="225">
        <v>0</v>
      </c>
      <c r="AS244" s="225">
        <v>0</v>
      </c>
      <c r="AT244" s="225">
        <v>0</v>
      </c>
      <c r="AU244" s="225">
        <v>0</v>
      </c>
      <c r="AV244" s="225">
        <f t="shared" si="113"/>
        <v>0</v>
      </c>
      <c r="AX244" s="225">
        <f t="shared" si="114"/>
        <v>0</v>
      </c>
      <c r="AY244" s="225">
        <f t="shared" si="115"/>
        <v>0</v>
      </c>
      <c r="AZ244" s="225">
        <f t="shared" si="116"/>
        <v>0</v>
      </c>
      <c r="BA244" s="225">
        <f t="shared" si="117"/>
        <v>0</v>
      </c>
      <c r="BB244" s="225">
        <f t="shared" si="118"/>
        <v>0</v>
      </c>
      <c r="BC244" s="225">
        <f t="shared" si="119"/>
        <v>0</v>
      </c>
      <c r="BD244" s="225">
        <f t="shared" si="120"/>
        <v>0</v>
      </c>
      <c r="BE244" s="225">
        <f t="shared" si="121"/>
        <v>0</v>
      </c>
      <c r="BF244" s="225">
        <f t="shared" si="122"/>
        <v>0</v>
      </c>
      <c r="BG244" s="225">
        <f t="shared" si="95"/>
        <v>0</v>
      </c>
      <c r="BH244" s="225">
        <f t="shared" si="96"/>
        <v>0</v>
      </c>
      <c r="BI244" s="225">
        <f t="shared" si="97"/>
        <v>0</v>
      </c>
      <c r="BJ244" s="225">
        <f t="shared" si="98"/>
        <v>0</v>
      </c>
      <c r="BK244" s="225">
        <f t="shared" si="99"/>
        <v>0</v>
      </c>
      <c r="BL244" s="225">
        <f t="shared" si="100"/>
        <v>0</v>
      </c>
      <c r="BM244" s="225">
        <f t="shared" si="101"/>
        <v>0</v>
      </c>
      <c r="BN244" s="225">
        <f t="shared" si="123"/>
        <v>0</v>
      </c>
      <c r="BO244" s="225">
        <f t="shared" si="102"/>
        <v>0</v>
      </c>
      <c r="BQ244" s="225"/>
      <c r="BR244" s="225"/>
    </row>
    <row r="245" spans="1:70">
      <c r="A245" s="168">
        <v>2471</v>
      </c>
      <c r="B245" s="2">
        <v>143943</v>
      </c>
      <c r="C245" s="2" t="s">
        <v>441</v>
      </c>
      <c r="F245" s="176">
        <v>0</v>
      </c>
      <c r="G245" s="176">
        <v>0</v>
      </c>
      <c r="H245" s="176">
        <v>45251.700000000004</v>
      </c>
      <c r="I245" s="176">
        <v>1560</v>
      </c>
      <c r="J245" s="176">
        <v>0</v>
      </c>
      <c r="K245" s="176">
        <v>0</v>
      </c>
      <c r="L245" s="30">
        <f t="shared" si="125"/>
        <v>46811.700000000004</v>
      </c>
      <c r="M245" s="176">
        <f t="shared" si="126"/>
        <v>37449.360000000008</v>
      </c>
      <c r="O245" s="176">
        <v>0</v>
      </c>
      <c r="P245" s="176">
        <v>0</v>
      </c>
      <c r="Q245" s="176">
        <v>37525.800000000003</v>
      </c>
      <c r="R245" s="176">
        <v>1365</v>
      </c>
      <c r="S245" s="176">
        <v>0</v>
      </c>
      <c r="T245" s="176">
        <v>0</v>
      </c>
      <c r="U245" s="176">
        <f t="shared" si="127"/>
        <v>38890.800000000003</v>
      </c>
      <c r="V245" s="176">
        <f t="shared" si="128"/>
        <v>31112.640000000003</v>
      </c>
      <c r="Y245" s="176">
        <v>0</v>
      </c>
      <c r="Z245" s="176">
        <v>37320.252631578951</v>
      </c>
      <c r="AA245" s="176">
        <v>1250.5263157894738</v>
      </c>
      <c r="AB245" s="176">
        <v>0</v>
      </c>
      <c r="AC245" s="176">
        <v>0</v>
      </c>
      <c r="AD245" s="176">
        <f t="shared" si="129"/>
        <v>38570.778947368424</v>
      </c>
      <c r="AE245" s="247">
        <f t="shared" si="130"/>
        <v>30856.623157894741</v>
      </c>
      <c r="AG245" s="247">
        <v>1478.1</v>
      </c>
      <c r="AH245" s="247">
        <v>1251.9000000000001</v>
      </c>
      <c r="AI245" s="247">
        <v>1226.6526315789474</v>
      </c>
      <c r="AK245" s="247">
        <f t="shared" si="110"/>
        <v>1182.48</v>
      </c>
      <c r="AL245" s="247">
        <f t="shared" si="111"/>
        <v>1001.5200000000001</v>
      </c>
      <c r="AM245" s="247">
        <f t="shared" si="112"/>
        <v>981.32210526315794</v>
      </c>
      <c r="AO245" s="225">
        <v>0</v>
      </c>
      <c r="AP245" s="225">
        <v>0</v>
      </c>
      <c r="AQ245" s="225">
        <v>37525.800000000003</v>
      </c>
      <c r="AR245" s="225">
        <v>1755</v>
      </c>
      <c r="AS245" s="225">
        <v>0</v>
      </c>
      <c r="AT245" s="225">
        <v>0</v>
      </c>
      <c r="AU245" s="225">
        <v>1277.2499999999998</v>
      </c>
      <c r="AV245" s="225">
        <f t="shared" si="113"/>
        <v>40558.050000000003</v>
      </c>
      <c r="AX245" s="225">
        <f t="shared" si="114"/>
        <v>0</v>
      </c>
      <c r="AY245" s="225">
        <f t="shared" si="115"/>
        <v>0</v>
      </c>
      <c r="AZ245" s="225">
        <f t="shared" si="116"/>
        <v>-7725.9000000000015</v>
      </c>
      <c r="BA245" s="225">
        <f t="shared" si="117"/>
        <v>195</v>
      </c>
      <c r="BB245" s="225">
        <f t="shared" si="118"/>
        <v>0</v>
      </c>
      <c r="BC245" s="225">
        <f t="shared" si="119"/>
        <v>0</v>
      </c>
      <c r="BD245" s="225">
        <f t="shared" si="120"/>
        <v>-200.85000000000014</v>
      </c>
      <c r="BE245" s="225">
        <f t="shared" si="121"/>
        <v>-7731.7500000000018</v>
      </c>
      <c r="BF245" s="225">
        <f t="shared" si="122"/>
        <v>0</v>
      </c>
      <c r="BG245" s="225">
        <f t="shared" si="95"/>
        <v>0</v>
      </c>
      <c r="BH245" s="225">
        <f t="shared" si="96"/>
        <v>0</v>
      </c>
      <c r="BI245" s="225">
        <f t="shared" si="97"/>
        <v>1324.4399999999951</v>
      </c>
      <c r="BJ245" s="225">
        <f t="shared" si="98"/>
        <v>507</v>
      </c>
      <c r="BK245" s="225">
        <f t="shared" si="99"/>
        <v>0</v>
      </c>
      <c r="BL245" s="225">
        <f t="shared" si="100"/>
        <v>0</v>
      </c>
      <c r="BM245" s="225">
        <f t="shared" si="101"/>
        <v>94.769999999999754</v>
      </c>
      <c r="BN245" s="225">
        <f t="shared" si="123"/>
        <v>1926.2099999999948</v>
      </c>
      <c r="BO245" s="225">
        <f t="shared" si="102"/>
        <v>0</v>
      </c>
      <c r="BQ245" s="225"/>
      <c r="BR245" s="225"/>
    </row>
    <row r="246" spans="1:70">
      <c r="A246" s="168">
        <v>7031</v>
      </c>
      <c r="B246" s="2">
        <v>138281</v>
      </c>
      <c r="C246" s="2" t="s">
        <v>442</v>
      </c>
      <c r="F246" s="176">
        <v>0</v>
      </c>
      <c r="G246" s="176">
        <v>0</v>
      </c>
      <c r="H246" s="176">
        <v>0</v>
      </c>
      <c r="I246" s="176">
        <v>0</v>
      </c>
      <c r="J246" s="176">
        <v>0</v>
      </c>
      <c r="K246" s="176">
        <v>0</v>
      </c>
      <c r="L246" s="30">
        <f t="shared" si="125"/>
        <v>0</v>
      </c>
      <c r="M246" s="176">
        <f t="shared" si="126"/>
        <v>0</v>
      </c>
      <c r="O246" s="176">
        <v>0</v>
      </c>
      <c r="P246" s="176">
        <v>0</v>
      </c>
      <c r="Q246" s="176">
        <v>0</v>
      </c>
      <c r="R246" s="176">
        <v>0</v>
      </c>
      <c r="S246" s="176">
        <v>0</v>
      </c>
      <c r="T246" s="176">
        <v>0</v>
      </c>
      <c r="U246" s="176">
        <f t="shared" si="127"/>
        <v>0</v>
      </c>
      <c r="V246" s="176">
        <f t="shared" si="128"/>
        <v>0</v>
      </c>
      <c r="Y246" s="176">
        <v>0</v>
      </c>
      <c r="Z246" s="176">
        <v>0</v>
      </c>
      <c r="AA246" s="176">
        <v>0</v>
      </c>
      <c r="AB246" s="176">
        <v>0</v>
      </c>
      <c r="AC246" s="176">
        <v>0</v>
      </c>
      <c r="AD246" s="176">
        <f t="shared" si="129"/>
        <v>0</v>
      </c>
      <c r="AE246" s="247">
        <f t="shared" si="130"/>
        <v>0</v>
      </c>
      <c r="AG246" s="247">
        <v>0</v>
      </c>
      <c r="AH246" s="247">
        <v>0</v>
      </c>
      <c r="AI246" s="247">
        <v>0</v>
      </c>
      <c r="AK246" s="247">
        <f t="shared" si="110"/>
        <v>0</v>
      </c>
      <c r="AL246" s="247">
        <f t="shared" si="111"/>
        <v>0</v>
      </c>
      <c r="AM246" s="247">
        <f t="shared" si="112"/>
        <v>0</v>
      </c>
      <c r="AO246" s="225">
        <v>0</v>
      </c>
      <c r="AP246" s="225">
        <v>0</v>
      </c>
      <c r="AQ246" s="225">
        <v>0</v>
      </c>
      <c r="AR246" s="225">
        <v>0</v>
      </c>
      <c r="AS246" s="225">
        <v>0</v>
      </c>
      <c r="AT246" s="225">
        <v>0</v>
      </c>
      <c r="AU246" s="225">
        <v>0</v>
      </c>
      <c r="AV246" s="225">
        <f t="shared" si="113"/>
        <v>0</v>
      </c>
      <c r="AX246" s="225">
        <f t="shared" si="114"/>
        <v>0</v>
      </c>
      <c r="AY246" s="225">
        <f t="shared" si="115"/>
        <v>0</v>
      </c>
      <c r="AZ246" s="225">
        <f t="shared" si="116"/>
        <v>0</v>
      </c>
      <c r="BA246" s="225">
        <f t="shared" si="117"/>
        <v>0</v>
      </c>
      <c r="BB246" s="225">
        <f t="shared" si="118"/>
        <v>0</v>
      </c>
      <c r="BC246" s="225">
        <f t="shared" si="119"/>
        <v>0</v>
      </c>
      <c r="BD246" s="225">
        <f t="shared" si="120"/>
        <v>0</v>
      </c>
      <c r="BE246" s="225">
        <f t="shared" si="121"/>
        <v>0</v>
      </c>
      <c r="BF246" s="225">
        <f t="shared" si="122"/>
        <v>0</v>
      </c>
      <c r="BG246" s="225">
        <f t="shared" si="95"/>
        <v>0</v>
      </c>
      <c r="BH246" s="225">
        <f t="shared" si="96"/>
        <v>0</v>
      </c>
      <c r="BI246" s="225">
        <f t="shared" si="97"/>
        <v>0</v>
      </c>
      <c r="BJ246" s="225">
        <f t="shared" si="98"/>
        <v>0</v>
      </c>
      <c r="BK246" s="225">
        <f t="shared" si="99"/>
        <v>0</v>
      </c>
      <c r="BL246" s="225">
        <f t="shared" si="100"/>
        <v>0</v>
      </c>
      <c r="BM246" s="225">
        <f t="shared" si="101"/>
        <v>0</v>
      </c>
      <c r="BN246" s="225">
        <f t="shared" si="123"/>
        <v>0</v>
      </c>
      <c r="BO246" s="225">
        <f t="shared" si="102"/>
        <v>0</v>
      </c>
      <c r="BQ246" s="225"/>
      <c r="BR246" s="225"/>
    </row>
    <row r="247" spans="1:70">
      <c r="A247" s="168">
        <v>2136</v>
      </c>
      <c r="B247" s="2">
        <v>139637</v>
      </c>
      <c r="C247" s="2" t="s">
        <v>443</v>
      </c>
      <c r="F247" s="176">
        <v>0</v>
      </c>
      <c r="G247" s="176">
        <v>0</v>
      </c>
      <c r="H247" s="176">
        <v>59599.8</v>
      </c>
      <c r="I247" s="176">
        <v>3315</v>
      </c>
      <c r="J247" s="176">
        <v>1267.8421052631579</v>
      </c>
      <c r="K247" s="176">
        <v>0</v>
      </c>
      <c r="L247" s="30">
        <f t="shared" si="125"/>
        <v>64182.642105263163</v>
      </c>
      <c r="M247" s="176">
        <f t="shared" si="126"/>
        <v>51346.113684210533</v>
      </c>
      <c r="O247" s="176">
        <v>0</v>
      </c>
      <c r="P247" s="176">
        <v>0</v>
      </c>
      <c r="Q247" s="176">
        <v>51873.9</v>
      </c>
      <c r="R247" s="176">
        <v>2730</v>
      </c>
      <c r="S247" s="176">
        <v>1044.1052631578948</v>
      </c>
      <c r="T247" s="176">
        <v>0</v>
      </c>
      <c r="U247" s="176">
        <f t="shared" si="127"/>
        <v>55648.005263157895</v>
      </c>
      <c r="V247" s="176">
        <f t="shared" si="128"/>
        <v>44518.404210526322</v>
      </c>
      <c r="Y247" s="176">
        <v>0</v>
      </c>
      <c r="Z247" s="176">
        <v>48258.947368421046</v>
      </c>
      <c r="AA247" s="176">
        <v>2671.5789473684213</v>
      </c>
      <c r="AB247" s="176">
        <v>1021.7617728531856</v>
      </c>
      <c r="AC247" s="176">
        <v>0</v>
      </c>
      <c r="AD247" s="176">
        <f t="shared" si="129"/>
        <v>51952.28808864265</v>
      </c>
      <c r="AE247" s="247">
        <f t="shared" si="130"/>
        <v>41561.830470914123</v>
      </c>
      <c r="AG247" s="247">
        <v>2059.1999999999998</v>
      </c>
      <c r="AH247" s="247">
        <v>1405.9499999999998</v>
      </c>
      <c r="AI247" s="247">
        <v>1580.2105263157894</v>
      </c>
      <c r="AK247" s="247">
        <f t="shared" si="110"/>
        <v>1647.36</v>
      </c>
      <c r="AL247" s="247">
        <f t="shared" si="111"/>
        <v>1124.76</v>
      </c>
      <c r="AM247" s="247">
        <f t="shared" si="112"/>
        <v>1264.1684210526316</v>
      </c>
      <c r="AO247" s="225">
        <v>0</v>
      </c>
      <c r="AP247" s="225">
        <v>0</v>
      </c>
      <c r="AQ247" s="225">
        <v>50770.2</v>
      </c>
      <c r="AR247" s="225">
        <v>2145</v>
      </c>
      <c r="AS247" s="225">
        <v>820.36842105263156</v>
      </c>
      <c r="AT247" s="225">
        <v>0</v>
      </c>
      <c r="AU247" s="225">
        <v>1370.85</v>
      </c>
      <c r="AV247" s="225">
        <f t="shared" si="113"/>
        <v>55106.418421052629</v>
      </c>
      <c r="AX247" s="225">
        <f t="shared" si="114"/>
        <v>0</v>
      </c>
      <c r="AY247" s="225">
        <f t="shared" si="115"/>
        <v>0</v>
      </c>
      <c r="AZ247" s="225">
        <f t="shared" si="116"/>
        <v>-8829.6000000000058</v>
      </c>
      <c r="BA247" s="225">
        <f t="shared" si="117"/>
        <v>-1170</v>
      </c>
      <c r="BB247" s="225">
        <f t="shared" si="118"/>
        <v>-447.47368421052636</v>
      </c>
      <c r="BC247" s="225">
        <f t="shared" si="119"/>
        <v>0</v>
      </c>
      <c r="BD247" s="225">
        <f t="shared" si="120"/>
        <v>-688.34999999999991</v>
      </c>
      <c r="BE247" s="225">
        <f t="shared" si="121"/>
        <v>-11135.423684210533</v>
      </c>
      <c r="BF247" s="225">
        <f t="shared" si="122"/>
        <v>0</v>
      </c>
      <c r="BG247" s="225">
        <f t="shared" si="95"/>
        <v>0</v>
      </c>
      <c r="BH247" s="225">
        <f t="shared" si="96"/>
        <v>0</v>
      </c>
      <c r="BI247" s="225">
        <f t="shared" si="97"/>
        <v>3090.3599999999933</v>
      </c>
      <c r="BJ247" s="225">
        <f t="shared" si="98"/>
        <v>-507</v>
      </c>
      <c r="BK247" s="225">
        <f t="shared" si="99"/>
        <v>-193.90526315789486</v>
      </c>
      <c r="BL247" s="225">
        <f t="shared" si="100"/>
        <v>0</v>
      </c>
      <c r="BM247" s="225">
        <f t="shared" si="101"/>
        <v>-276.51</v>
      </c>
      <c r="BN247" s="225">
        <f t="shared" si="123"/>
        <v>2112.9447368420988</v>
      </c>
      <c r="BO247" s="225">
        <f t="shared" si="102"/>
        <v>0</v>
      </c>
      <c r="BQ247" s="225"/>
      <c r="BR247" s="225"/>
    </row>
    <row r="248" spans="1:70">
      <c r="A248" s="168">
        <v>2480</v>
      </c>
      <c r="B248" s="2">
        <v>142386</v>
      </c>
      <c r="C248" s="2" t="s">
        <v>444</v>
      </c>
      <c r="F248" s="176">
        <v>0</v>
      </c>
      <c r="G248" s="176">
        <v>0</v>
      </c>
      <c r="H248" s="176">
        <v>32007.3</v>
      </c>
      <c r="I248" s="176">
        <v>2535</v>
      </c>
      <c r="J248" s="176">
        <v>0</v>
      </c>
      <c r="K248" s="176">
        <v>0</v>
      </c>
      <c r="L248" s="30">
        <f t="shared" si="125"/>
        <v>34542.300000000003</v>
      </c>
      <c r="M248" s="176">
        <f t="shared" si="126"/>
        <v>27633.840000000004</v>
      </c>
      <c r="O248" s="176">
        <v>0</v>
      </c>
      <c r="P248" s="176">
        <v>0</v>
      </c>
      <c r="Q248" s="176">
        <v>23177.7</v>
      </c>
      <c r="R248" s="176">
        <v>1755</v>
      </c>
      <c r="S248" s="176">
        <v>0</v>
      </c>
      <c r="T248" s="176">
        <v>0</v>
      </c>
      <c r="U248" s="176">
        <f t="shared" si="127"/>
        <v>24932.7</v>
      </c>
      <c r="V248" s="176">
        <f t="shared" si="128"/>
        <v>19946.160000000003</v>
      </c>
      <c r="Y248" s="176">
        <v>0</v>
      </c>
      <c r="Z248" s="176">
        <v>21233.936842105264</v>
      </c>
      <c r="AA248" s="176">
        <v>1250.5263157894738</v>
      </c>
      <c r="AB248" s="176">
        <v>0</v>
      </c>
      <c r="AC248" s="176">
        <v>0</v>
      </c>
      <c r="AD248" s="176">
        <f t="shared" si="129"/>
        <v>22484.463157894737</v>
      </c>
      <c r="AE248" s="247">
        <f t="shared" si="130"/>
        <v>17987.570526315791</v>
      </c>
      <c r="AG248" s="247">
        <v>2513.5500000000002</v>
      </c>
      <c r="AH248" s="247">
        <v>1903.2</v>
      </c>
      <c r="AI248" s="247">
        <v>1668.8842105263154</v>
      </c>
      <c r="AK248" s="247">
        <f t="shared" si="110"/>
        <v>2010.8400000000001</v>
      </c>
      <c r="AL248" s="247">
        <f t="shared" si="111"/>
        <v>1522.5600000000002</v>
      </c>
      <c r="AM248" s="247">
        <f t="shared" si="112"/>
        <v>1335.1073684210523</v>
      </c>
      <c r="AO248" s="225">
        <v>0</v>
      </c>
      <c r="AP248" s="225">
        <v>0</v>
      </c>
      <c r="AQ248" s="225">
        <v>33111</v>
      </c>
      <c r="AR248" s="225">
        <v>2145</v>
      </c>
      <c r="AS248" s="225">
        <v>74.578947368421055</v>
      </c>
      <c r="AT248" s="225">
        <v>0</v>
      </c>
      <c r="AU248" s="225">
        <v>2911.35</v>
      </c>
      <c r="AV248" s="225">
        <f t="shared" si="113"/>
        <v>38241.928947368418</v>
      </c>
      <c r="AX248" s="225">
        <f t="shared" si="114"/>
        <v>0</v>
      </c>
      <c r="AY248" s="225">
        <f t="shared" si="115"/>
        <v>0</v>
      </c>
      <c r="AZ248" s="225">
        <f t="shared" si="116"/>
        <v>1103.7000000000007</v>
      </c>
      <c r="BA248" s="225">
        <f t="shared" si="117"/>
        <v>-390</v>
      </c>
      <c r="BB248" s="225">
        <f t="shared" si="118"/>
        <v>74.578947368421055</v>
      </c>
      <c r="BC248" s="225">
        <f t="shared" si="119"/>
        <v>0</v>
      </c>
      <c r="BD248" s="225">
        <f t="shared" si="120"/>
        <v>397.79999999999973</v>
      </c>
      <c r="BE248" s="225">
        <f t="shared" si="121"/>
        <v>1186.0789473684215</v>
      </c>
      <c r="BF248" s="225">
        <f t="shared" si="122"/>
        <v>0</v>
      </c>
      <c r="BG248" s="225">
        <f t="shared" si="95"/>
        <v>0</v>
      </c>
      <c r="BH248" s="225">
        <f t="shared" si="96"/>
        <v>0</v>
      </c>
      <c r="BI248" s="225">
        <f t="shared" si="97"/>
        <v>7505.16</v>
      </c>
      <c r="BJ248" s="225">
        <f t="shared" si="98"/>
        <v>117</v>
      </c>
      <c r="BK248" s="225">
        <f t="shared" si="99"/>
        <v>74.578947368421055</v>
      </c>
      <c r="BL248" s="225">
        <f t="shared" si="100"/>
        <v>0</v>
      </c>
      <c r="BM248" s="225">
        <f t="shared" si="101"/>
        <v>900.50999999999976</v>
      </c>
      <c r="BN248" s="225">
        <f t="shared" si="123"/>
        <v>8597.24894736842</v>
      </c>
      <c r="BO248" s="225">
        <f t="shared" si="102"/>
        <v>0</v>
      </c>
      <c r="BQ248" s="225"/>
      <c r="BR248" s="225"/>
    </row>
    <row r="249" spans="1:70">
      <c r="A249" s="168">
        <v>2146</v>
      </c>
      <c r="B249" s="2">
        <v>141319</v>
      </c>
      <c r="C249" s="2" t="s">
        <v>445</v>
      </c>
      <c r="F249" s="176">
        <v>0</v>
      </c>
      <c r="G249" s="176">
        <v>0</v>
      </c>
      <c r="H249" s="176">
        <v>39733.200000000004</v>
      </c>
      <c r="I249" s="176">
        <v>3315</v>
      </c>
      <c r="J249" s="176">
        <v>1267.8421052631579</v>
      </c>
      <c r="K249" s="176">
        <v>0</v>
      </c>
      <c r="L249" s="30">
        <f t="shared" si="125"/>
        <v>44316.042105263165</v>
      </c>
      <c r="M249" s="176">
        <f t="shared" si="126"/>
        <v>35452.833684210535</v>
      </c>
      <c r="O249" s="176">
        <v>0</v>
      </c>
      <c r="P249" s="176">
        <v>0</v>
      </c>
      <c r="Q249" s="176">
        <v>50770.200000000004</v>
      </c>
      <c r="R249" s="176">
        <v>4290</v>
      </c>
      <c r="S249" s="176">
        <v>1640.7368421052631</v>
      </c>
      <c r="T249" s="176">
        <v>0</v>
      </c>
      <c r="U249" s="176">
        <f t="shared" si="127"/>
        <v>56700.936842105264</v>
      </c>
      <c r="V249" s="176">
        <f t="shared" si="128"/>
        <v>45360.749473684213</v>
      </c>
      <c r="Y249" s="176">
        <v>0</v>
      </c>
      <c r="Z249" s="176">
        <v>38607.157894736847</v>
      </c>
      <c r="AA249" s="176">
        <v>3126.3157894736842</v>
      </c>
      <c r="AB249" s="176">
        <v>1195.6786703601108</v>
      </c>
      <c r="AC249" s="176">
        <v>0</v>
      </c>
      <c r="AD249" s="176">
        <f t="shared" si="129"/>
        <v>42929.152354570644</v>
      </c>
      <c r="AE249" s="247">
        <f t="shared" si="130"/>
        <v>34343.321883656514</v>
      </c>
      <c r="AG249" s="247">
        <v>684.45</v>
      </c>
      <c r="AH249" s="247">
        <v>1000.35</v>
      </c>
      <c r="AI249" s="247">
        <v>711.66315789473697</v>
      </c>
      <c r="AK249" s="247">
        <f t="shared" si="110"/>
        <v>547.56000000000006</v>
      </c>
      <c r="AL249" s="247">
        <f t="shared" si="111"/>
        <v>800.28000000000009</v>
      </c>
      <c r="AM249" s="247">
        <f t="shared" si="112"/>
        <v>569.3305263157896</v>
      </c>
      <c r="AO249" s="225">
        <v>0</v>
      </c>
      <c r="AP249" s="225">
        <v>0</v>
      </c>
      <c r="AQ249" s="225">
        <v>54081.3</v>
      </c>
      <c r="AR249" s="225">
        <v>5460</v>
      </c>
      <c r="AS249" s="225">
        <v>2088.2105263157896</v>
      </c>
      <c r="AT249" s="225">
        <v>0</v>
      </c>
      <c r="AU249" s="225">
        <v>1015.95</v>
      </c>
      <c r="AV249" s="225">
        <f t="shared" si="113"/>
        <v>62645.460526315786</v>
      </c>
      <c r="AX249" s="225">
        <f t="shared" si="114"/>
        <v>0</v>
      </c>
      <c r="AY249" s="225">
        <f t="shared" si="115"/>
        <v>0</v>
      </c>
      <c r="AZ249" s="225">
        <f t="shared" si="116"/>
        <v>14348.099999999999</v>
      </c>
      <c r="BA249" s="225">
        <f t="shared" si="117"/>
        <v>2145</v>
      </c>
      <c r="BB249" s="225">
        <f t="shared" si="118"/>
        <v>820.36842105263167</v>
      </c>
      <c r="BC249" s="225">
        <f t="shared" si="119"/>
        <v>0</v>
      </c>
      <c r="BD249" s="225">
        <f t="shared" si="120"/>
        <v>331.5</v>
      </c>
      <c r="BE249" s="225">
        <f t="shared" si="121"/>
        <v>17644.968421052632</v>
      </c>
      <c r="BF249" s="225">
        <f t="shared" si="122"/>
        <v>0</v>
      </c>
      <c r="BG249" s="225">
        <f t="shared" si="95"/>
        <v>0</v>
      </c>
      <c r="BH249" s="225">
        <f t="shared" si="96"/>
        <v>0</v>
      </c>
      <c r="BI249" s="225">
        <f t="shared" si="97"/>
        <v>22294.739999999998</v>
      </c>
      <c r="BJ249" s="225">
        <f t="shared" si="98"/>
        <v>2808</v>
      </c>
      <c r="BK249" s="225">
        <f t="shared" si="99"/>
        <v>1073.9368421052632</v>
      </c>
      <c r="BL249" s="225">
        <f t="shared" si="100"/>
        <v>0</v>
      </c>
      <c r="BM249" s="225">
        <f t="shared" si="101"/>
        <v>468.39</v>
      </c>
      <c r="BN249" s="225">
        <f t="shared" si="123"/>
        <v>26645.066842105261</v>
      </c>
      <c r="BO249" s="225">
        <f t="shared" si="102"/>
        <v>0</v>
      </c>
      <c r="BQ249" s="225"/>
      <c r="BR249" s="225"/>
    </row>
    <row r="250" spans="1:70">
      <c r="A250" s="168">
        <v>4246</v>
      </c>
      <c r="B250" s="2">
        <v>139994</v>
      </c>
      <c r="C250" s="2" t="s">
        <v>446</v>
      </c>
      <c r="F250" s="176">
        <v>0</v>
      </c>
      <c r="G250" s="176">
        <v>0</v>
      </c>
      <c r="H250" s="176">
        <v>0</v>
      </c>
      <c r="I250" s="176">
        <v>0</v>
      </c>
      <c r="J250" s="176">
        <v>0</v>
      </c>
      <c r="K250" s="176">
        <v>0</v>
      </c>
      <c r="L250" s="30">
        <f t="shared" si="125"/>
        <v>0</v>
      </c>
      <c r="M250" s="176">
        <f t="shared" si="126"/>
        <v>0</v>
      </c>
      <c r="O250" s="176">
        <v>0</v>
      </c>
      <c r="P250" s="176">
        <v>0</v>
      </c>
      <c r="Q250" s="176">
        <v>0</v>
      </c>
      <c r="R250" s="176">
        <v>0</v>
      </c>
      <c r="S250" s="176">
        <v>0</v>
      </c>
      <c r="T250" s="176">
        <v>0</v>
      </c>
      <c r="U250" s="176">
        <f t="shared" si="127"/>
        <v>0</v>
      </c>
      <c r="V250" s="176">
        <f t="shared" si="128"/>
        <v>0</v>
      </c>
      <c r="Y250" s="176">
        <v>0</v>
      </c>
      <c r="Z250" s="176">
        <v>0</v>
      </c>
      <c r="AA250" s="176">
        <v>0</v>
      </c>
      <c r="AB250" s="176">
        <v>0</v>
      </c>
      <c r="AC250" s="176">
        <v>0</v>
      </c>
      <c r="AD250" s="176">
        <f t="shared" si="129"/>
        <v>0</v>
      </c>
      <c r="AE250" s="247">
        <f t="shared" si="130"/>
        <v>0</v>
      </c>
      <c r="AG250" s="247">
        <v>0</v>
      </c>
      <c r="AH250" s="247">
        <v>0</v>
      </c>
      <c r="AI250" s="247">
        <v>0</v>
      </c>
      <c r="AK250" s="247">
        <f t="shared" si="110"/>
        <v>0</v>
      </c>
      <c r="AL250" s="247">
        <f t="shared" si="111"/>
        <v>0</v>
      </c>
      <c r="AM250" s="247">
        <f t="shared" si="112"/>
        <v>0</v>
      </c>
      <c r="AO250" s="225">
        <v>0</v>
      </c>
      <c r="AP250" s="225">
        <v>0</v>
      </c>
      <c r="AQ250" s="225">
        <v>0</v>
      </c>
      <c r="AR250" s="225">
        <v>0</v>
      </c>
      <c r="AS250" s="225">
        <v>0</v>
      </c>
      <c r="AT250" s="225">
        <v>0</v>
      </c>
      <c r="AU250" s="225">
        <v>0</v>
      </c>
      <c r="AV250" s="225">
        <f t="shared" si="113"/>
        <v>0</v>
      </c>
      <c r="AX250" s="225">
        <f t="shared" si="114"/>
        <v>0</v>
      </c>
      <c r="AY250" s="225">
        <f t="shared" si="115"/>
        <v>0</v>
      </c>
      <c r="AZ250" s="225">
        <f t="shared" si="116"/>
        <v>0</v>
      </c>
      <c r="BA250" s="225">
        <f t="shared" si="117"/>
        <v>0</v>
      </c>
      <c r="BB250" s="225">
        <f t="shared" si="118"/>
        <v>0</v>
      </c>
      <c r="BC250" s="225">
        <f t="shared" si="119"/>
        <v>0</v>
      </c>
      <c r="BD250" s="225">
        <f t="shared" si="120"/>
        <v>0</v>
      </c>
      <c r="BE250" s="225">
        <f t="shared" si="121"/>
        <v>0</v>
      </c>
      <c r="BF250" s="225">
        <f t="shared" si="122"/>
        <v>0</v>
      </c>
      <c r="BG250" s="225">
        <f t="shared" si="95"/>
        <v>0</v>
      </c>
      <c r="BH250" s="225">
        <f t="shared" si="96"/>
        <v>0</v>
      </c>
      <c r="BI250" s="225">
        <f t="shared" si="97"/>
        <v>0</v>
      </c>
      <c r="BJ250" s="225">
        <f t="shared" si="98"/>
        <v>0</v>
      </c>
      <c r="BK250" s="225">
        <f t="shared" si="99"/>
        <v>0</v>
      </c>
      <c r="BL250" s="225">
        <f t="shared" si="100"/>
        <v>0</v>
      </c>
      <c r="BM250" s="225">
        <f t="shared" si="101"/>
        <v>0</v>
      </c>
      <c r="BN250" s="225">
        <f t="shared" si="123"/>
        <v>0</v>
      </c>
      <c r="BO250" s="225">
        <f t="shared" si="102"/>
        <v>0</v>
      </c>
      <c r="BQ250" s="225"/>
      <c r="BR250" s="225"/>
    </row>
    <row r="251" spans="1:70">
      <c r="A251" s="168">
        <v>2122</v>
      </c>
      <c r="B251" s="2">
        <v>139378</v>
      </c>
      <c r="C251" s="2" t="s">
        <v>447</v>
      </c>
      <c r="F251" s="176">
        <v>0</v>
      </c>
      <c r="G251" s="176">
        <v>0</v>
      </c>
      <c r="H251" s="176">
        <v>80570.099999999991</v>
      </c>
      <c r="I251" s="176">
        <v>5655</v>
      </c>
      <c r="J251" s="176">
        <v>298.31578947368422</v>
      </c>
      <c r="K251" s="176">
        <v>0</v>
      </c>
      <c r="L251" s="30">
        <f t="shared" si="125"/>
        <v>86523.415789473671</v>
      </c>
      <c r="M251" s="176">
        <f t="shared" si="126"/>
        <v>69218.73263157894</v>
      </c>
      <c r="O251" s="176">
        <v>0</v>
      </c>
      <c r="P251" s="176">
        <v>0</v>
      </c>
      <c r="Q251" s="176">
        <v>44148</v>
      </c>
      <c r="R251" s="176">
        <v>975</v>
      </c>
      <c r="S251" s="176">
        <v>372.89473684210526</v>
      </c>
      <c r="T251" s="176">
        <v>0</v>
      </c>
      <c r="U251" s="176">
        <f t="shared" si="127"/>
        <v>45495.894736842107</v>
      </c>
      <c r="V251" s="176">
        <f t="shared" si="128"/>
        <v>36396.715789473688</v>
      </c>
      <c r="Y251" s="176">
        <v>0</v>
      </c>
      <c r="Z251" s="176">
        <v>57267.284210526312</v>
      </c>
      <c r="AA251" s="176">
        <v>3467.3684210526317</v>
      </c>
      <c r="AB251" s="176">
        <v>760.88642659279776</v>
      </c>
      <c r="AC251" s="176">
        <v>0</v>
      </c>
      <c r="AD251" s="176">
        <f t="shared" si="129"/>
        <v>61495.539058171744</v>
      </c>
      <c r="AE251" s="247">
        <f t="shared" si="130"/>
        <v>49196.431246537395</v>
      </c>
      <c r="AG251" s="247">
        <v>1437.15</v>
      </c>
      <c r="AH251" s="247">
        <v>780</v>
      </c>
      <c r="AI251" s="247">
        <v>1047.0315789473684</v>
      </c>
      <c r="AK251" s="247">
        <f t="shared" si="110"/>
        <v>1149.72</v>
      </c>
      <c r="AL251" s="247">
        <f t="shared" si="111"/>
        <v>624</v>
      </c>
      <c r="AM251" s="247">
        <f t="shared" si="112"/>
        <v>837.62526315789478</v>
      </c>
      <c r="AO251" s="225">
        <v>0</v>
      </c>
      <c r="AP251" s="225">
        <v>0</v>
      </c>
      <c r="AQ251" s="225">
        <v>76155.3</v>
      </c>
      <c r="AR251" s="225">
        <v>2925</v>
      </c>
      <c r="AS251" s="225">
        <v>1118.6842105263158</v>
      </c>
      <c r="AT251" s="225">
        <v>0</v>
      </c>
      <c r="AU251" s="225">
        <v>1101.75</v>
      </c>
      <c r="AV251" s="225">
        <f t="shared" si="113"/>
        <v>81300.734210526323</v>
      </c>
      <c r="AX251" s="225">
        <f t="shared" si="114"/>
        <v>0</v>
      </c>
      <c r="AY251" s="225">
        <f t="shared" si="115"/>
        <v>0</v>
      </c>
      <c r="AZ251" s="225">
        <f t="shared" si="116"/>
        <v>-4414.7999999999884</v>
      </c>
      <c r="BA251" s="225">
        <f t="shared" si="117"/>
        <v>-2730</v>
      </c>
      <c r="BB251" s="225">
        <f t="shared" si="118"/>
        <v>820.36842105263167</v>
      </c>
      <c r="BC251" s="225">
        <f t="shared" si="119"/>
        <v>0</v>
      </c>
      <c r="BD251" s="225">
        <f t="shared" si="120"/>
        <v>-335.40000000000009</v>
      </c>
      <c r="BE251" s="225">
        <f t="shared" si="121"/>
        <v>-6659.8315789473563</v>
      </c>
      <c r="BF251" s="225">
        <f t="shared" si="122"/>
        <v>0</v>
      </c>
      <c r="BG251" s="225">
        <f t="shared" si="95"/>
        <v>0</v>
      </c>
      <c r="BH251" s="225">
        <f t="shared" si="96"/>
        <v>0</v>
      </c>
      <c r="BI251" s="225">
        <f t="shared" si="97"/>
        <v>11699.220000000008</v>
      </c>
      <c r="BJ251" s="225">
        <f t="shared" si="98"/>
        <v>-1599</v>
      </c>
      <c r="BK251" s="225">
        <f t="shared" si="99"/>
        <v>880.03157894736842</v>
      </c>
      <c r="BL251" s="225">
        <f t="shared" si="100"/>
        <v>0</v>
      </c>
      <c r="BM251" s="225">
        <f t="shared" si="101"/>
        <v>-47.970000000000027</v>
      </c>
      <c r="BN251" s="225">
        <f t="shared" si="123"/>
        <v>10932.281578947377</v>
      </c>
      <c r="BO251" s="225">
        <f t="shared" si="102"/>
        <v>0</v>
      </c>
      <c r="BQ251" s="225"/>
      <c r="BR251" s="225"/>
    </row>
    <row r="252" spans="1:70">
      <c r="A252" s="168">
        <v>2485</v>
      </c>
      <c r="B252" s="2">
        <v>146722</v>
      </c>
      <c r="C252" s="2" t="s">
        <v>448</v>
      </c>
      <c r="F252" s="176">
        <v>0</v>
      </c>
      <c r="G252" s="176">
        <v>0</v>
      </c>
      <c r="H252" s="176">
        <v>0</v>
      </c>
      <c r="I252" s="176">
        <v>0</v>
      </c>
      <c r="J252" s="176">
        <v>0</v>
      </c>
      <c r="K252" s="176">
        <v>0</v>
      </c>
      <c r="L252" s="30">
        <f t="shared" si="125"/>
        <v>0</v>
      </c>
      <c r="M252" s="176">
        <f t="shared" si="126"/>
        <v>0</v>
      </c>
      <c r="O252" s="176">
        <v>0</v>
      </c>
      <c r="P252" s="176">
        <v>0</v>
      </c>
      <c r="Q252" s="176">
        <v>0</v>
      </c>
      <c r="R252" s="176">
        <v>0</v>
      </c>
      <c r="S252" s="176">
        <v>0</v>
      </c>
      <c r="T252" s="176">
        <v>0</v>
      </c>
      <c r="U252" s="176">
        <f t="shared" si="127"/>
        <v>0</v>
      </c>
      <c r="V252" s="176">
        <f t="shared" si="128"/>
        <v>0</v>
      </c>
      <c r="Y252" s="176">
        <v>0</v>
      </c>
      <c r="Z252" s="176">
        <v>0</v>
      </c>
      <c r="AA252" s="176">
        <v>0</v>
      </c>
      <c r="AB252" s="176">
        <v>0</v>
      </c>
      <c r="AC252" s="176">
        <v>0</v>
      </c>
      <c r="AD252" s="176">
        <f t="shared" si="129"/>
        <v>0</v>
      </c>
      <c r="AE252" s="247">
        <f t="shared" si="130"/>
        <v>0</v>
      </c>
      <c r="AG252" s="247">
        <v>0</v>
      </c>
      <c r="AH252" s="247">
        <v>0</v>
      </c>
      <c r="AI252" s="247">
        <v>0</v>
      </c>
      <c r="AK252" s="247">
        <f t="shared" si="110"/>
        <v>0</v>
      </c>
      <c r="AL252" s="247">
        <f t="shared" si="111"/>
        <v>0</v>
      </c>
      <c r="AM252" s="247">
        <f t="shared" si="112"/>
        <v>0</v>
      </c>
      <c r="AO252" s="225">
        <v>0</v>
      </c>
      <c r="AP252" s="225">
        <v>0</v>
      </c>
      <c r="AQ252" s="225">
        <v>0</v>
      </c>
      <c r="AR252" s="225">
        <v>0</v>
      </c>
      <c r="AS252" s="225">
        <v>0</v>
      </c>
      <c r="AT252" s="225">
        <v>0</v>
      </c>
      <c r="AU252" s="225">
        <v>0</v>
      </c>
      <c r="AV252" s="225">
        <f t="shared" si="113"/>
        <v>0</v>
      </c>
      <c r="AX252" s="225">
        <f t="shared" si="114"/>
        <v>0</v>
      </c>
      <c r="AY252" s="225">
        <f t="shared" si="115"/>
        <v>0</v>
      </c>
      <c r="AZ252" s="225">
        <f t="shared" si="116"/>
        <v>0</v>
      </c>
      <c r="BA252" s="225">
        <f t="shared" si="117"/>
        <v>0</v>
      </c>
      <c r="BB252" s="225">
        <f t="shared" si="118"/>
        <v>0</v>
      </c>
      <c r="BC252" s="225">
        <f t="shared" si="119"/>
        <v>0</v>
      </c>
      <c r="BD252" s="225">
        <f t="shared" si="120"/>
        <v>0</v>
      </c>
      <c r="BE252" s="225">
        <f t="shared" si="121"/>
        <v>0</v>
      </c>
      <c r="BF252" s="225">
        <f t="shared" si="122"/>
        <v>0</v>
      </c>
      <c r="BG252" s="225">
        <f t="shared" si="95"/>
        <v>0</v>
      </c>
      <c r="BH252" s="225">
        <f t="shared" si="96"/>
        <v>0</v>
      </c>
      <c r="BI252" s="225">
        <f t="shared" si="97"/>
        <v>0</v>
      </c>
      <c r="BJ252" s="225">
        <f t="shared" si="98"/>
        <v>0</v>
      </c>
      <c r="BK252" s="225">
        <f t="shared" si="99"/>
        <v>0</v>
      </c>
      <c r="BL252" s="225">
        <f t="shared" si="100"/>
        <v>0</v>
      </c>
      <c r="BM252" s="225">
        <f t="shared" si="101"/>
        <v>0</v>
      </c>
      <c r="BN252" s="225">
        <f t="shared" si="123"/>
        <v>0</v>
      </c>
      <c r="BO252" s="225">
        <f t="shared" si="102"/>
        <v>0</v>
      </c>
      <c r="BQ252" s="225"/>
      <c r="BR252" s="225"/>
    </row>
    <row r="253" spans="1:70">
      <c r="A253" s="168">
        <v>2180</v>
      </c>
      <c r="B253" s="2">
        <v>142858</v>
      </c>
      <c r="C253" s="2" t="s">
        <v>449</v>
      </c>
      <c r="F253" s="176">
        <v>0</v>
      </c>
      <c r="G253" s="176">
        <v>0</v>
      </c>
      <c r="H253" s="176">
        <v>84984.900000000009</v>
      </c>
      <c r="I253" s="176">
        <v>3510</v>
      </c>
      <c r="J253" s="176">
        <v>372.89473684210526</v>
      </c>
      <c r="K253" s="176">
        <v>0</v>
      </c>
      <c r="L253" s="30">
        <f t="shared" si="125"/>
        <v>88867.794736842116</v>
      </c>
      <c r="M253" s="176">
        <f t="shared" si="126"/>
        <v>71094.235789473692</v>
      </c>
      <c r="O253" s="176">
        <v>0</v>
      </c>
      <c r="P253" s="176">
        <v>0</v>
      </c>
      <c r="Q253" s="176">
        <v>44148</v>
      </c>
      <c r="R253" s="176">
        <v>2535</v>
      </c>
      <c r="S253" s="176">
        <v>969.52631578947376</v>
      </c>
      <c r="T253" s="176">
        <v>0</v>
      </c>
      <c r="U253" s="176">
        <f t="shared" si="127"/>
        <v>47652.526315789473</v>
      </c>
      <c r="V253" s="176">
        <f t="shared" si="128"/>
        <v>38122.021052631579</v>
      </c>
      <c r="Y253" s="176">
        <v>0</v>
      </c>
      <c r="Z253" s="176">
        <v>59519.368421052626</v>
      </c>
      <c r="AA253" s="176">
        <v>2501.0526315789475</v>
      </c>
      <c r="AB253" s="176">
        <v>673.92797783933509</v>
      </c>
      <c r="AC253" s="176">
        <v>0</v>
      </c>
      <c r="AD253" s="176">
        <f t="shared" si="129"/>
        <v>62694.349030470905</v>
      </c>
      <c r="AE253" s="247">
        <f t="shared" si="130"/>
        <v>50155.47922437673</v>
      </c>
      <c r="AG253" s="247">
        <v>3061.4999999999995</v>
      </c>
      <c r="AH253" s="247">
        <v>1934.4</v>
      </c>
      <c r="AI253" s="247">
        <v>2294.7157894736843</v>
      </c>
      <c r="AK253" s="247">
        <f t="shared" si="110"/>
        <v>2449.1999999999998</v>
      </c>
      <c r="AL253" s="247">
        <f t="shared" si="111"/>
        <v>1547.5200000000002</v>
      </c>
      <c r="AM253" s="247">
        <f t="shared" si="112"/>
        <v>1835.7726315789475</v>
      </c>
      <c r="AO253" s="225">
        <v>0</v>
      </c>
      <c r="AP253" s="225">
        <v>0</v>
      </c>
      <c r="AQ253" s="225">
        <v>77259.000000000015</v>
      </c>
      <c r="AR253" s="225">
        <v>5460</v>
      </c>
      <c r="AS253" s="225">
        <v>2088.2105263157896</v>
      </c>
      <c r="AT253" s="225">
        <v>0</v>
      </c>
      <c r="AU253" s="225">
        <v>2948.3999999999996</v>
      </c>
      <c r="AV253" s="225">
        <f t="shared" si="113"/>
        <v>87755.610526315795</v>
      </c>
      <c r="AX253" s="225">
        <f t="shared" si="114"/>
        <v>0</v>
      </c>
      <c r="AY253" s="225">
        <f t="shared" si="115"/>
        <v>0</v>
      </c>
      <c r="AZ253" s="225">
        <f t="shared" si="116"/>
        <v>-7725.8999999999942</v>
      </c>
      <c r="BA253" s="225">
        <f t="shared" si="117"/>
        <v>1950</v>
      </c>
      <c r="BB253" s="225">
        <f t="shared" si="118"/>
        <v>1715.3157894736844</v>
      </c>
      <c r="BC253" s="225">
        <f t="shared" si="119"/>
        <v>0</v>
      </c>
      <c r="BD253" s="225">
        <f t="shared" si="120"/>
        <v>-113.09999999999991</v>
      </c>
      <c r="BE253" s="225">
        <f t="shared" si="121"/>
        <v>-4173.6842105263095</v>
      </c>
      <c r="BF253" s="225">
        <f t="shared" si="122"/>
        <v>0</v>
      </c>
      <c r="BG253" s="225">
        <f t="shared" si="95"/>
        <v>0</v>
      </c>
      <c r="BH253" s="225">
        <f t="shared" si="96"/>
        <v>0</v>
      </c>
      <c r="BI253" s="225">
        <f t="shared" si="97"/>
        <v>9271.0800000000017</v>
      </c>
      <c r="BJ253" s="225">
        <f t="shared" si="98"/>
        <v>2652</v>
      </c>
      <c r="BK253" s="225">
        <f t="shared" si="99"/>
        <v>1789.8947368421054</v>
      </c>
      <c r="BL253" s="225">
        <f t="shared" si="100"/>
        <v>0</v>
      </c>
      <c r="BM253" s="225">
        <f t="shared" si="101"/>
        <v>499.19999999999982</v>
      </c>
      <c r="BN253" s="225">
        <f t="shared" si="123"/>
        <v>14212.174736842106</v>
      </c>
      <c r="BO253" s="225">
        <f t="shared" si="102"/>
        <v>0</v>
      </c>
      <c r="BQ253" s="225"/>
      <c r="BR253" s="225"/>
    </row>
    <row r="254" spans="1:70">
      <c r="A254" s="271">
        <v>2223</v>
      </c>
      <c r="B254" s="271">
        <v>151212</v>
      </c>
      <c r="C254" s="270" t="s">
        <v>10</v>
      </c>
      <c r="F254" s="282">
        <v>0</v>
      </c>
      <c r="G254" s="282">
        <v>0</v>
      </c>
      <c r="H254" s="282">
        <v>54081.3</v>
      </c>
      <c r="I254" s="282">
        <v>1755</v>
      </c>
      <c r="J254" s="282">
        <v>0</v>
      </c>
      <c r="K254" s="282">
        <v>0</v>
      </c>
      <c r="L254" s="283">
        <v>55836.3</v>
      </c>
      <c r="M254" s="282">
        <v>44669.040000000008</v>
      </c>
      <c r="O254" s="176">
        <v>0</v>
      </c>
      <c r="P254" s="176">
        <v>0</v>
      </c>
      <c r="Q254" s="176">
        <v>29799.9</v>
      </c>
      <c r="R254" s="176">
        <v>1755</v>
      </c>
      <c r="S254" s="176">
        <v>0</v>
      </c>
      <c r="T254" s="176">
        <v>0</v>
      </c>
      <c r="U254" s="176">
        <v>31554.9</v>
      </c>
      <c r="V254" s="176">
        <f t="shared" si="128"/>
        <v>25243.920000000002</v>
      </c>
      <c r="X254" s="176">
        <v>0</v>
      </c>
      <c r="Y254" s="176">
        <v>0</v>
      </c>
      <c r="Z254" s="176">
        <v>39250.610526315795</v>
      </c>
      <c r="AA254" s="176">
        <v>1477.8947368421054</v>
      </c>
      <c r="AB254" s="176">
        <v>0</v>
      </c>
      <c r="AC254" s="176">
        <v>0</v>
      </c>
      <c r="AD254" s="176">
        <v>40728.505263157902</v>
      </c>
      <c r="AE254" s="247">
        <f t="shared" si="130"/>
        <v>32582.804210526323</v>
      </c>
      <c r="AG254" s="247">
        <v>1240.2</v>
      </c>
      <c r="AH254">
        <v>842.4</v>
      </c>
      <c r="AI254" s="247">
        <v>917.43157894736839</v>
      </c>
      <c r="AK254" s="247">
        <v>992.16000000000008</v>
      </c>
      <c r="AL254" s="247">
        <f t="shared" si="111"/>
        <v>673.92000000000007</v>
      </c>
      <c r="AM254" s="247">
        <f t="shared" si="112"/>
        <v>733.94526315789471</v>
      </c>
      <c r="AO254" s="225">
        <v>0</v>
      </c>
      <c r="AP254" s="225">
        <v>0</v>
      </c>
      <c r="AQ254" s="225">
        <v>36422.1</v>
      </c>
      <c r="AR254" s="225">
        <v>1950</v>
      </c>
      <c r="AS254" s="225">
        <v>0</v>
      </c>
      <c r="AT254" s="225">
        <v>0</v>
      </c>
      <c r="AU254" s="225">
        <v>780</v>
      </c>
      <c r="AV254" s="225">
        <f t="shared" ref="AV254:AV255" si="131">SUM(AO254:AU254)</f>
        <v>39152.1</v>
      </c>
      <c r="AX254" s="225">
        <f t="shared" si="114"/>
        <v>0</v>
      </c>
      <c r="AY254" s="225">
        <f t="shared" si="115"/>
        <v>0</v>
      </c>
      <c r="AZ254" s="225">
        <f t="shared" si="116"/>
        <v>-17659.200000000004</v>
      </c>
      <c r="BA254" s="225">
        <f t="shared" si="117"/>
        <v>195</v>
      </c>
      <c r="BB254" s="225">
        <f t="shared" si="118"/>
        <v>0</v>
      </c>
      <c r="BC254" s="225">
        <f t="shared" si="119"/>
        <v>0</v>
      </c>
      <c r="BD254" s="225">
        <f t="shared" si="120"/>
        <v>-460.20000000000005</v>
      </c>
      <c r="BE254" s="225">
        <f t="shared" si="121"/>
        <v>-17924.400000000005</v>
      </c>
      <c r="BF254" s="225">
        <f t="shared" si="122"/>
        <v>0</v>
      </c>
      <c r="BG254" s="225">
        <f t="shared" si="95"/>
        <v>0</v>
      </c>
      <c r="BH254" s="225">
        <f t="shared" si="96"/>
        <v>0</v>
      </c>
      <c r="BI254" s="225">
        <f t="shared" si="97"/>
        <v>-6842.9400000000096</v>
      </c>
      <c r="BJ254" s="225">
        <f t="shared" si="98"/>
        <v>546</v>
      </c>
      <c r="BK254" s="225">
        <f t="shared" si="99"/>
        <v>0</v>
      </c>
      <c r="BL254" s="225">
        <f t="shared" si="100"/>
        <v>0</v>
      </c>
      <c r="BM254" s="225">
        <f t="shared" si="101"/>
        <v>-212.16000000000008</v>
      </c>
      <c r="BN254" s="225">
        <f t="shared" ref="BN254:BN255" si="132">SUM(BG254:BM254)</f>
        <v>-6509.1000000000095</v>
      </c>
      <c r="BO254" s="225">
        <f t="shared" si="102"/>
        <v>0</v>
      </c>
      <c r="BQ254" s="225"/>
      <c r="BR254" s="225"/>
    </row>
    <row r="255" spans="1:70">
      <c r="A255" s="271">
        <v>2236</v>
      </c>
      <c r="B255" s="271">
        <v>151402</v>
      </c>
      <c r="C255" s="270" t="s">
        <v>11</v>
      </c>
      <c r="O255" s="176"/>
      <c r="P255" s="176"/>
      <c r="Q255" s="176"/>
      <c r="R255" s="176"/>
      <c r="S255" s="176"/>
      <c r="T255" s="176"/>
      <c r="U255" s="176"/>
      <c r="V255" s="176">
        <f t="shared" si="128"/>
        <v>0</v>
      </c>
      <c r="X255" s="176"/>
      <c r="Y255" s="176"/>
      <c r="Z255" s="176"/>
      <c r="AA255" s="176"/>
      <c r="AB255" s="176"/>
      <c r="AC255" s="176"/>
      <c r="AD255" s="176"/>
      <c r="AE255" s="247">
        <f t="shared" si="130"/>
        <v>0</v>
      </c>
      <c r="AK255">
        <f t="shared" si="110"/>
        <v>0</v>
      </c>
      <c r="AL255" s="176">
        <f t="shared" si="110"/>
        <v>0</v>
      </c>
      <c r="AM255" s="176">
        <f t="shared" si="110"/>
        <v>0</v>
      </c>
      <c r="AO255" s="225">
        <v>0</v>
      </c>
      <c r="AP255" s="225">
        <v>0</v>
      </c>
      <c r="AQ255" s="225">
        <v>0</v>
      </c>
      <c r="AR255" s="225">
        <v>0</v>
      </c>
      <c r="AS255" s="225">
        <v>0</v>
      </c>
      <c r="AT255" s="225">
        <v>0</v>
      </c>
      <c r="AU255" s="225">
        <v>0</v>
      </c>
      <c r="AV255" s="225">
        <f t="shared" si="131"/>
        <v>0</v>
      </c>
      <c r="AX255" s="225">
        <f t="shared" si="114"/>
        <v>0</v>
      </c>
      <c r="AY255" s="225">
        <f t="shared" si="115"/>
        <v>0</v>
      </c>
      <c r="AZ255" s="225">
        <f t="shared" si="116"/>
        <v>0</v>
      </c>
      <c r="BA255" s="225">
        <f t="shared" si="117"/>
        <v>0</v>
      </c>
      <c r="BB255" s="225">
        <f t="shared" si="118"/>
        <v>0</v>
      </c>
      <c r="BC255" s="225">
        <f t="shared" si="119"/>
        <v>0</v>
      </c>
      <c r="BD255" s="225">
        <f t="shared" si="120"/>
        <v>0</v>
      </c>
      <c r="BE255" s="225">
        <f t="shared" si="121"/>
        <v>0</v>
      </c>
      <c r="BF255" s="225">
        <f t="shared" si="122"/>
        <v>0</v>
      </c>
      <c r="BG255" s="225">
        <f t="shared" si="95"/>
        <v>0</v>
      </c>
      <c r="BH255" s="225">
        <f t="shared" si="96"/>
        <v>0</v>
      </c>
      <c r="BI255" s="225">
        <f t="shared" si="97"/>
        <v>0</v>
      </c>
      <c r="BJ255" s="225">
        <f t="shared" si="98"/>
        <v>0</v>
      </c>
      <c r="BK255" s="225">
        <f t="shared" si="99"/>
        <v>0</v>
      </c>
      <c r="BL255" s="225">
        <f t="shared" si="100"/>
        <v>0</v>
      </c>
      <c r="BM255" s="225">
        <f t="shared" si="101"/>
        <v>0</v>
      </c>
      <c r="BN255" s="225">
        <f t="shared" si="132"/>
        <v>0</v>
      </c>
      <c r="BO255" s="225">
        <f t="shared" si="102"/>
        <v>0</v>
      </c>
      <c r="BQ255" s="225"/>
      <c r="BR255" s="225"/>
    </row>
    <row r="256" spans="1:70">
      <c r="A256" s="268">
        <v>3323</v>
      </c>
      <c r="B256" s="268">
        <v>103427</v>
      </c>
      <c r="C256" s="268" t="s">
        <v>13</v>
      </c>
      <c r="O256" s="176">
        <v>0</v>
      </c>
      <c r="P256" s="176">
        <v>0</v>
      </c>
      <c r="Q256" s="176">
        <v>14348.1</v>
      </c>
      <c r="R256" s="176">
        <v>780</v>
      </c>
      <c r="S256" s="176">
        <v>298.31578947368422</v>
      </c>
      <c r="T256" s="176">
        <v>0</v>
      </c>
      <c r="U256" s="176">
        <v>15426.415789473685</v>
      </c>
      <c r="V256" s="176">
        <f t="shared" si="128"/>
        <v>12341.132631578948</v>
      </c>
      <c r="X256" s="176">
        <v>0</v>
      </c>
      <c r="Y256" s="176">
        <v>0</v>
      </c>
      <c r="Z256" s="176">
        <v>16086.315789473687</v>
      </c>
      <c r="AA256" s="176">
        <v>795.78947368421041</v>
      </c>
      <c r="AB256" s="176">
        <v>86.958448753462591</v>
      </c>
      <c r="AC256" s="176">
        <v>0</v>
      </c>
      <c r="AD256" s="176">
        <v>16969.06371191136</v>
      </c>
      <c r="AE256" s="247">
        <f t="shared" si="130"/>
        <v>13575.250969529088</v>
      </c>
      <c r="AH256" s="247">
        <v>848.25</v>
      </c>
      <c r="AI256" s="247">
        <v>1118.6526315789472</v>
      </c>
      <c r="AL256" s="176">
        <f t="shared" ref="AL256:AL260" si="133">AH256*80%</f>
        <v>678.6</v>
      </c>
      <c r="AM256" s="176">
        <f t="shared" ref="AM256:AM260" si="134">AI256*80%</f>
        <v>894.92210526315785</v>
      </c>
    </row>
    <row r="257" spans="1:66">
      <c r="A257" s="268">
        <v>3431</v>
      </c>
      <c r="B257" s="268">
        <v>134774</v>
      </c>
      <c r="C257" s="268" t="s">
        <v>16</v>
      </c>
      <c r="O257" s="176">
        <v>0</v>
      </c>
      <c r="P257" s="176">
        <v>0</v>
      </c>
      <c r="Q257" s="176">
        <v>70636.800000000003</v>
      </c>
      <c r="R257" s="176">
        <v>195</v>
      </c>
      <c r="S257" s="176">
        <v>74.578947368421055</v>
      </c>
      <c r="T257" s="176">
        <v>0</v>
      </c>
      <c r="U257" s="176">
        <v>70906.37894736843</v>
      </c>
      <c r="V257" s="176">
        <f t="shared" si="128"/>
        <v>56725.103157894744</v>
      </c>
      <c r="X257" s="176">
        <v>0</v>
      </c>
      <c r="Y257" s="176">
        <v>0</v>
      </c>
      <c r="Z257" s="176">
        <v>66919.073684210525</v>
      </c>
      <c r="AA257" s="176">
        <v>682.10526315789468</v>
      </c>
      <c r="AB257" s="176">
        <v>21.739612188365648</v>
      </c>
      <c r="AC257" s="176">
        <v>0</v>
      </c>
      <c r="AD257" s="176">
        <v>67622.918559556783</v>
      </c>
      <c r="AE257" s="247">
        <f t="shared" si="130"/>
        <v>54098.334847645427</v>
      </c>
      <c r="AH257" s="247">
        <v>698.09999999999991</v>
      </c>
      <c r="AI257" s="247">
        <v>730.98947368421045</v>
      </c>
      <c r="AL257" s="176">
        <f t="shared" si="133"/>
        <v>558.4799999999999</v>
      </c>
      <c r="AM257" s="176">
        <f t="shared" si="134"/>
        <v>584.79157894736841</v>
      </c>
    </row>
    <row r="258" spans="1:66">
      <c r="A258" s="268">
        <v>3329</v>
      </c>
      <c r="B258" s="268">
        <v>103431</v>
      </c>
      <c r="C258" s="268" t="s">
        <v>17</v>
      </c>
      <c r="O258" s="176">
        <v>0</v>
      </c>
      <c r="P258" s="176">
        <v>0</v>
      </c>
      <c r="Q258" s="176">
        <v>33111</v>
      </c>
      <c r="R258" s="176">
        <v>390</v>
      </c>
      <c r="S258" s="176">
        <v>149.15789473684211</v>
      </c>
      <c r="T258" s="176">
        <v>0</v>
      </c>
      <c r="U258" s="176">
        <v>33650.15789473684</v>
      </c>
      <c r="V258" s="176">
        <f t="shared" si="128"/>
        <v>26920.126315789472</v>
      </c>
      <c r="X258" s="176">
        <v>0</v>
      </c>
      <c r="Y258" s="176">
        <v>0</v>
      </c>
      <c r="Z258" s="176">
        <v>31207.452631578944</v>
      </c>
      <c r="AA258" s="176">
        <v>1136.8421052631579</v>
      </c>
      <c r="AB258" s="176">
        <v>434.79224376731298</v>
      </c>
      <c r="AC258" s="176">
        <v>0</v>
      </c>
      <c r="AD258" s="176">
        <v>32779.086980609412</v>
      </c>
      <c r="AE258" s="247">
        <f t="shared" si="130"/>
        <v>26223.269584487531</v>
      </c>
      <c r="AH258" s="247">
        <v>507</v>
      </c>
      <c r="AI258" s="247">
        <v>513.85263157894724</v>
      </c>
      <c r="AL258" s="176">
        <f t="shared" si="133"/>
        <v>405.6</v>
      </c>
      <c r="AM258" s="176">
        <f t="shared" si="134"/>
        <v>411.08210526315781</v>
      </c>
    </row>
    <row r="259" spans="1:66">
      <c r="A259" s="268">
        <v>3406</v>
      </c>
      <c r="B259" s="268">
        <v>103476</v>
      </c>
      <c r="C259" s="268" t="s">
        <v>18</v>
      </c>
      <c r="O259" s="176">
        <v>0</v>
      </c>
      <c r="P259" s="176">
        <v>0</v>
      </c>
      <c r="Q259" s="176">
        <v>22074</v>
      </c>
      <c r="R259" s="176">
        <v>1560</v>
      </c>
      <c r="S259" s="176">
        <v>372.89473684210526</v>
      </c>
      <c r="T259" s="176">
        <v>0</v>
      </c>
      <c r="U259" s="176">
        <v>24006.894736842107</v>
      </c>
      <c r="V259" s="176">
        <f t="shared" si="128"/>
        <v>19205.515789473688</v>
      </c>
      <c r="X259" s="176">
        <v>0</v>
      </c>
      <c r="Y259" s="176">
        <v>0</v>
      </c>
      <c r="Z259" s="176">
        <v>21555.663157894734</v>
      </c>
      <c r="AA259" s="176">
        <v>1080</v>
      </c>
      <c r="AB259" s="176">
        <v>347.83379501385036</v>
      </c>
      <c r="AC259" s="176">
        <v>0</v>
      </c>
      <c r="AD259" s="176">
        <v>22983.496952908587</v>
      </c>
      <c r="AE259" s="247">
        <f t="shared" si="130"/>
        <v>18386.797562326869</v>
      </c>
      <c r="AH259" s="247">
        <v>844.34999999999991</v>
      </c>
      <c r="AI259" s="247">
        <v>597.41052631578953</v>
      </c>
      <c r="AL259" s="176">
        <f t="shared" si="133"/>
        <v>675.48</v>
      </c>
      <c r="AM259" s="176">
        <f t="shared" si="134"/>
        <v>477.92842105263162</v>
      </c>
    </row>
    <row r="260" spans="1:66">
      <c r="A260" s="268">
        <v>3310</v>
      </c>
      <c r="B260" s="268">
        <v>103417</v>
      </c>
      <c r="C260" s="268" t="s">
        <v>21</v>
      </c>
      <c r="O260" s="176">
        <v>0</v>
      </c>
      <c r="P260" s="176">
        <v>0</v>
      </c>
      <c r="Q260" s="176">
        <v>18762.900000000001</v>
      </c>
      <c r="R260" s="176">
        <v>1950</v>
      </c>
      <c r="S260" s="176">
        <v>596.63157894736844</v>
      </c>
      <c r="T260" s="176">
        <v>0</v>
      </c>
      <c r="U260" s="176">
        <v>21309.531578947372</v>
      </c>
      <c r="V260" s="176">
        <f t="shared" si="128"/>
        <v>17047.625263157897</v>
      </c>
      <c r="X260" s="176">
        <v>0</v>
      </c>
      <c r="Y260" s="176">
        <v>0</v>
      </c>
      <c r="Z260" s="176">
        <v>20268.757894736842</v>
      </c>
      <c r="AA260" s="176">
        <v>966.31578947368416</v>
      </c>
      <c r="AB260" s="176">
        <v>369.573407202216</v>
      </c>
      <c r="AC260" s="176">
        <v>0</v>
      </c>
      <c r="AD260" s="176">
        <v>21604.647091412742</v>
      </c>
      <c r="AE260" s="247">
        <f t="shared" si="130"/>
        <v>17283.717673130195</v>
      </c>
      <c r="AH260" s="247">
        <v>1515.1499999999999</v>
      </c>
      <c r="AI260" s="247">
        <v>1504.6105263157895</v>
      </c>
      <c r="AL260" s="176">
        <f t="shared" si="133"/>
        <v>1212.1199999999999</v>
      </c>
      <c r="AM260" s="176">
        <f t="shared" si="134"/>
        <v>1203.6884210526316</v>
      </c>
    </row>
    <row r="264" spans="1:66">
      <c r="F264" s="176">
        <f t="shared" ref="F264:M264" si="135">SUM(F8:F254)</f>
        <v>0</v>
      </c>
      <c r="G264" s="176">
        <f t="shared" si="135"/>
        <v>64718.549999999996</v>
      </c>
      <c r="H264" s="176">
        <f t="shared" si="135"/>
        <v>4239370.5639999993</v>
      </c>
      <c r="I264" s="176">
        <f t="shared" si="135"/>
        <v>213135</v>
      </c>
      <c r="J264" s="176">
        <f t="shared" si="135"/>
        <v>33933.42105263158</v>
      </c>
      <c r="K264" s="176">
        <f t="shared" si="135"/>
        <v>641.78947368421052</v>
      </c>
      <c r="L264" s="176">
        <f t="shared" si="135"/>
        <v>4551799.3245263156</v>
      </c>
      <c r="M264" s="176">
        <f t="shared" si="135"/>
        <v>3641439.4596210527</v>
      </c>
      <c r="O264" s="176">
        <f t="shared" ref="O264:V264" si="136">SUM(O8:O261)</f>
        <v>0</v>
      </c>
      <c r="P264" s="176">
        <f t="shared" si="136"/>
        <v>75670.92</v>
      </c>
      <c r="Q264" s="176">
        <f t="shared" si="136"/>
        <v>3531472.1000000006</v>
      </c>
      <c r="R264" s="176">
        <f t="shared" si="136"/>
        <v>158067</v>
      </c>
      <c r="S264" s="176">
        <f t="shared" si="136"/>
        <v>43554.105263157893</v>
      </c>
      <c r="T264" s="176">
        <f t="shared" si="136"/>
        <v>320.89473684210526</v>
      </c>
      <c r="U264" s="176">
        <f t="shared" si="136"/>
        <v>3809085.0200000019</v>
      </c>
      <c r="V264" s="176">
        <f t="shared" si="136"/>
        <v>3047268.0159999998</v>
      </c>
      <c r="X264" s="176">
        <f t="shared" ref="X264:AD264" si="137">SUM(X8:X261)</f>
        <v>0</v>
      </c>
      <c r="Y264" s="176">
        <f t="shared" si="137"/>
        <v>59111.355789473688</v>
      </c>
      <c r="Z264" s="176">
        <f t="shared" si="137"/>
        <v>3538534.767157895</v>
      </c>
      <c r="AA264" s="176">
        <f t="shared" si="137"/>
        <v>167002.10526315786</v>
      </c>
      <c r="AB264" s="176">
        <f t="shared" si="137"/>
        <v>39370.437673130189</v>
      </c>
      <c r="AC264" s="176">
        <f t="shared" si="137"/>
        <v>374.1606648199446</v>
      </c>
      <c r="AD264" s="176">
        <f t="shared" si="137"/>
        <v>3804392.8265484758</v>
      </c>
      <c r="AE264" s="176">
        <f>SUM(AE8:AE261)</f>
        <v>3043514.2612387817</v>
      </c>
      <c r="AG264" s="176">
        <f>SUM(AG8:AG261)</f>
        <v>139906.13000000006</v>
      </c>
      <c r="AH264" s="176">
        <f>SUM(AH8:AH261)</f>
        <v>113436.96</v>
      </c>
      <c r="AI264" s="176">
        <f>SUM(AI8:AI261)</f>
        <v>114209.24210526315</v>
      </c>
      <c r="AK264" s="176">
        <f>SUM(AK8:AK254)</f>
        <v>111924.90399999997</v>
      </c>
      <c r="AL264" s="176">
        <f>SUM(AL8:AL261)</f>
        <v>90749.567999999999</v>
      </c>
      <c r="AM264" s="176">
        <f>SUM(AM8:AM261)</f>
        <v>91367.393684210532</v>
      </c>
      <c r="AO264" s="176">
        <f t="shared" ref="AO264:AV264" si="138">SUM(AO8:AO254)</f>
        <v>0</v>
      </c>
      <c r="AP264" s="176">
        <f t="shared" si="138"/>
        <v>64718.549999999996</v>
      </c>
      <c r="AQ264" s="176">
        <f t="shared" si="138"/>
        <v>4191374.3299999987</v>
      </c>
      <c r="AR264" s="176">
        <f t="shared" si="138"/>
        <v>221520</v>
      </c>
      <c r="AS264" s="176">
        <f t="shared" si="138"/>
        <v>66822.736842105252</v>
      </c>
      <c r="AT264" s="176">
        <f t="shared" si="138"/>
        <v>641.78</v>
      </c>
      <c r="AU264" s="176">
        <f t="shared" si="138"/>
        <v>135793.57999999993</v>
      </c>
      <c r="AV264" s="176">
        <f t="shared" si="138"/>
        <v>4680870.9768421045</v>
      </c>
      <c r="AX264" s="176">
        <f t="shared" ref="AX264:BE264" si="139">SUM(AX8:AX254)</f>
        <v>0</v>
      </c>
      <c r="AY264" s="176">
        <f t="shared" si="139"/>
        <v>0</v>
      </c>
      <c r="AZ264" s="176">
        <f t="shared" si="139"/>
        <v>-47996.234000000113</v>
      </c>
      <c r="BA264" s="176">
        <f t="shared" si="139"/>
        <v>8385</v>
      </c>
      <c r="BB264" s="176">
        <f t="shared" si="139"/>
        <v>32889.315789473694</v>
      </c>
      <c r="BC264" s="176">
        <f t="shared" si="139"/>
        <v>-9.4736842105476171E-3</v>
      </c>
      <c r="BD264" s="176">
        <f t="shared" si="139"/>
        <v>-4112.55</v>
      </c>
      <c r="BE264" s="176">
        <f t="shared" si="139"/>
        <v>-10834.477684210662</v>
      </c>
      <c r="BG264" s="176">
        <f t="shared" ref="BG264:BN264" si="140">SUM(BG8:BG254)</f>
        <v>0</v>
      </c>
      <c r="BH264" s="176">
        <f t="shared" si="140"/>
        <v>12943.709999999997</v>
      </c>
      <c r="BI264" s="176">
        <f t="shared" si="140"/>
        <v>799877.8787999996</v>
      </c>
      <c r="BJ264" s="176">
        <f t="shared" si="140"/>
        <v>51012</v>
      </c>
      <c r="BK264" s="176">
        <f t="shared" si="140"/>
        <v>39676.000000000007</v>
      </c>
      <c r="BL264" s="176">
        <f t="shared" si="140"/>
        <v>128.34842105263158</v>
      </c>
      <c r="BM264" s="176">
        <f t="shared" si="140"/>
        <v>23868.675999999996</v>
      </c>
      <c r="BN264" s="176">
        <f t="shared" si="140"/>
        <v>927506.61322105245</v>
      </c>
    </row>
  </sheetData>
  <sheetProtection algorithmName="SHA-512" hashValue="EoJJK51nsJhzW0IwYg/wIkFGJRWTLCAMbW/PQ7dWoKbEeqdSRKnVuMDIzveNc/R8N72xI0PBNOuZKbGO2PZV5Q==" saltValue="99t+0T4zfmcDWb++sxVMuw==" spinCount="100000" sheet="1" autoFilter="0"/>
  <autoFilter ref="A7:DN260" xr:uid="{559EC715-CAF1-44E8-A16C-304CD5956029}"/>
  <phoneticPr fontId="94" type="noConversion"/>
  <conditionalFormatting sqref="A7:C8">
    <cfRule type="cellIs" dxfId="2" priority="2" operator="lessThan">
      <formula>0</formula>
    </cfRule>
  </conditionalFormatting>
  <hyperlinks>
    <hyperlink ref="C4" r:id="rId1" display="../../../../../../:x:/s/SchoolFairfundingTeam/EdCeV4MrQQtHgjRDel0zs4oBrXLTDSNubfSIfx4XuCVbSg?e=8btP32" xr:uid="{A7FDCD11-F4D6-471F-92D1-D64D9A247ABA}"/>
  </hyperlinks>
  <pageMargins left="0.7" right="0.7" top="0.75" bottom="0.75" header="0.3" footer="0.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7091-4481-426B-8794-F14727353404}">
  <dimension ref="A1:P263"/>
  <sheetViews>
    <sheetView workbookViewId="0">
      <selection activeCell="G11" sqref="G11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5" max="5" width="10.54296875" bestFit="1" customWidth="1"/>
  </cols>
  <sheetData>
    <row r="1" spans="1:16">
      <c r="A1" s="1" t="s">
        <v>477</v>
      </c>
      <c r="B1" s="1"/>
    </row>
    <row r="2" spans="1:1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</row>
    <row r="5" spans="1:16" ht="15" thickBot="1"/>
    <row r="6" spans="1:16" ht="73" thickBot="1">
      <c r="A6" s="151" t="s">
        <v>1</v>
      </c>
      <c r="B6" s="152" t="s">
        <v>2</v>
      </c>
      <c r="C6" s="154" t="s">
        <v>3</v>
      </c>
      <c r="E6" s="289" t="s">
        <v>478</v>
      </c>
    </row>
    <row r="7" spans="1:16">
      <c r="A7" s="167">
        <v>3318</v>
      </c>
      <c r="B7" s="159">
        <v>147669</v>
      </c>
      <c r="C7" s="159" t="s">
        <v>212</v>
      </c>
      <c r="E7" s="2"/>
    </row>
    <row r="8" spans="1:16">
      <c r="A8" s="168">
        <v>2020</v>
      </c>
      <c r="B8" s="2">
        <v>139443</v>
      </c>
      <c r="C8" s="2" t="s">
        <v>213</v>
      </c>
      <c r="E8" s="2"/>
    </row>
    <row r="9" spans="1:16">
      <c r="A9" s="168">
        <v>3433</v>
      </c>
      <c r="B9" s="2">
        <v>140889</v>
      </c>
      <c r="C9" s="2" t="s">
        <v>214</v>
      </c>
      <c r="E9" s="2"/>
    </row>
    <row r="10" spans="1:16">
      <c r="A10" s="168">
        <v>2144</v>
      </c>
      <c r="B10" s="2">
        <v>140656</v>
      </c>
      <c r="C10" s="2" t="s">
        <v>215</v>
      </c>
      <c r="E10" s="2"/>
    </row>
    <row r="11" spans="1:16">
      <c r="A11" s="168">
        <v>4804</v>
      </c>
      <c r="B11" s="2">
        <v>146124</v>
      </c>
      <c r="C11" s="2" t="s">
        <v>216</v>
      </c>
      <c r="E11" s="2"/>
    </row>
    <row r="12" spans="1:16">
      <c r="A12" s="168">
        <v>4031</v>
      </c>
      <c r="B12" s="2">
        <v>145580</v>
      </c>
      <c r="C12" s="2" t="s">
        <v>217</v>
      </c>
      <c r="E12" s="2"/>
    </row>
    <row r="13" spans="1:16">
      <c r="A13" s="168">
        <v>4013</v>
      </c>
      <c r="B13" s="2">
        <v>140014</v>
      </c>
      <c r="C13" s="2" t="s">
        <v>218</v>
      </c>
      <c r="E13" s="2"/>
    </row>
    <row r="14" spans="1:16">
      <c r="A14" s="168">
        <v>4001</v>
      </c>
      <c r="B14" s="2">
        <v>137578</v>
      </c>
      <c r="C14" s="2" t="s">
        <v>219</v>
      </c>
      <c r="E14" s="2"/>
    </row>
    <row r="15" spans="1:16">
      <c r="A15" s="168">
        <v>6908</v>
      </c>
      <c r="B15" s="2">
        <v>135970</v>
      </c>
      <c r="C15" s="2" t="s">
        <v>220</v>
      </c>
      <c r="E15" s="2"/>
    </row>
    <row r="16" spans="1:16">
      <c r="A16" s="168">
        <v>2056</v>
      </c>
      <c r="B16" s="2">
        <v>138397</v>
      </c>
      <c r="C16" s="2" t="s">
        <v>221</v>
      </c>
      <c r="E16" s="2"/>
    </row>
    <row r="17" spans="1:5">
      <c r="A17" s="168">
        <v>4019</v>
      </c>
      <c r="B17" s="2">
        <v>141752</v>
      </c>
      <c r="C17" s="2" t="s">
        <v>222</v>
      </c>
      <c r="E17" s="2"/>
    </row>
    <row r="18" spans="1:5">
      <c r="A18" s="168">
        <v>4220</v>
      </c>
      <c r="B18" s="2">
        <v>136882</v>
      </c>
      <c r="C18" s="2" t="s">
        <v>223</v>
      </c>
      <c r="E18" s="2"/>
    </row>
    <row r="19" spans="1:5">
      <c r="A19" s="168">
        <v>2443</v>
      </c>
      <c r="B19" s="2">
        <v>142686</v>
      </c>
      <c r="C19" s="2" t="s">
        <v>224</v>
      </c>
      <c r="E19" s="2"/>
    </row>
    <row r="20" spans="1:5">
      <c r="A20" s="168">
        <v>4003</v>
      </c>
      <c r="B20" s="2">
        <v>138222</v>
      </c>
      <c r="C20" s="2" t="s">
        <v>225</v>
      </c>
      <c r="E20" s="2"/>
    </row>
    <row r="21" spans="1:5">
      <c r="A21" s="168">
        <v>3412</v>
      </c>
      <c r="B21" s="2">
        <v>143437</v>
      </c>
      <c r="C21" s="2" t="s">
        <v>226</v>
      </c>
      <c r="E21" s="2"/>
    </row>
    <row r="22" spans="1:5">
      <c r="A22" s="168">
        <v>2450</v>
      </c>
      <c r="B22" s="2">
        <v>138694</v>
      </c>
      <c r="C22" s="2" t="s">
        <v>227</v>
      </c>
      <c r="E22" s="2"/>
    </row>
    <row r="23" spans="1:5">
      <c r="A23" s="168">
        <v>4108</v>
      </c>
      <c r="B23" s="2">
        <v>136589</v>
      </c>
      <c r="C23" s="2" t="s">
        <v>228</v>
      </c>
      <c r="E23" s="2"/>
    </row>
    <row r="24" spans="1:5">
      <c r="A24" s="168">
        <v>2072</v>
      </c>
      <c r="B24" s="2">
        <v>138888</v>
      </c>
      <c r="C24" s="2" t="s">
        <v>229</v>
      </c>
      <c r="E24" s="2"/>
    </row>
    <row r="25" spans="1:5">
      <c r="A25" s="168">
        <v>2211</v>
      </c>
      <c r="B25" s="2">
        <v>150054</v>
      </c>
      <c r="C25" s="2" t="s">
        <v>230</v>
      </c>
      <c r="E25" s="2"/>
    </row>
    <row r="26" spans="1:5">
      <c r="A26" s="168">
        <v>2186</v>
      </c>
      <c r="B26" s="2">
        <v>146075</v>
      </c>
      <c r="C26" s="2" t="s">
        <v>231</v>
      </c>
      <c r="E26" s="2"/>
    </row>
    <row r="27" spans="1:5">
      <c r="A27" s="168">
        <v>4660</v>
      </c>
      <c r="B27" s="2">
        <v>137988</v>
      </c>
      <c r="C27" s="2" t="s">
        <v>232</v>
      </c>
      <c r="E27" s="2"/>
    </row>
    <row r="28" spans="1:5">
      <c r="A28" s="168">
        <v>4661</v>
      </c>
      <c r="B28" s="2">
        <v>140524</v>
      </c>
      <c r="C28" s="2" t="s">
        <v>233</v>
      </c>
      <c r="E28" s="2"/>
    </row>
    <row r="29" spans="1:5">
      <c r="A29" s="168">
        <v>4000</v>
      </c>
      <c r="B29" s="2">
        <v>136944</v>
      </c>
      <c r="C29" s="2" t="s">
        <v>234</v>
      </c>
      <c r="E29" s="2"/>
    </row>
    <row r="30" spans="1:5">
      <c r="A30" s="168">
        <v>4044</v>
      </c>
      <c r="B30" s="2">
        <v>149042</v>
      </c>
      <c r="C30" s="2" t="s">
        <v>235</v>
      </c>
      <c r="E30" s="2"/>
    </row>
    <row r="31" spans="1:5">
      <c r="A31" s="168">
        <v>4043</v>
      </c>
      <c r="B31" s="2">
        <v>148635</v>
      </c>
      <c r="C31" s="2" t="s">
        <v>236</v>
      </c>
      <c r="E31" s="2"/>
    </row>
    <row r="32" spans="1:5">
      <c r="A32" s="168">
        <v>2171</v>
      </c>
      <c r="B32" s="2">
        <v>144337</v>
      </c>
      <c r="C32" s="2" t="s">
        <v>237</v>
      </c>
      <c r="E32" s="2"/>
    </row>
    <row r="33" spans="1:5">
      <c r="A33" s="168">
        <v>4017</v>
      </c>
      <c r="B33" s="2">
        <v>141318</v>
      </c>
      <c r="C33" s="2" t="s">
        <v>238</v>
      </c>
      <c r="E33" s="2"/>
    </row>
    <row r="34" spans="1:5">
      <c r="A34" s="168">
        <v>7038</v>
      </c>
      <c r="B34" s="2">
        <v>144042</v>
      </c>
      <c r="C34" s="2" t="s">
        <v>239</v>
      </c>
      <c r="E34" s="2"/>
    </row>
    <row r="35" spans="1:5">
      <c r="A35" s="168">
        <v>4227</v>
      </c>
      <c r="B35" s="2">
        <v>139841</v>
      </c>
      <c r="C35" s="2" t="s">
        <v>240</v>
      </c>
      <c r="E35" s="2"/>
    </row>
    <row r="36" spans="1:5">
      <c r="A36" s="168">
        <v>2223</v>
      </c>
      <c r="B36" s="2">
        <v>151212</v>
      </c>
      <c r="C36" s="2" t="s">
        <v>10</v>
      </c>
      <c r="E36" s="2"/>
    </row>
    <row r="37" spans="1:5">
      <c r="A37" s="168">
        <v>2236</v>
      </c>
      <c r="B37" s="2">
        <v>151402</v>
      </c>
      <c r="C37" s="2" t="s">
        <v>11</v>
      </c>
      <c r="E37" s="2"/>
    </row>
    <row r="38" spans="1:5">
      <c r="A38" s="168">
        <v>2196</v>
      </c>
      <c r="B38" s="2">
        <v>146437</v>
      </c>
      <c r="C38" s="2" t="s">
        <v>241</v>
      </c>
      <c r="E38" s="2"/>
    </row>
    <row r="39" spans="1:5">
      <c r="A39" s="168">
        <v>2295</v>
      </c>
      <c r="B39" s="2">
        <v>139465</v>
      </c>
      <c r="C39" s="2" t="s">
        <v>242</v>
      </c>
      <c r="E39" s="2"/>
    </row>
    <row r="40" spans="1:5">
      <c r="A40" s="168">
        <v>2152</v>
      </c>
      <c r="B40" s="2">
        <v>141320</v>
      </c>
      <c r="C40" s="2" t="s">
        <v>243</v>
      </c>
      <c r="E40" s="2"/>
    </row>
    <row r="41" spans="1:5">
      <c r="A41" s="168">
        <v>7013</v>
      </c>
      <c r="B41" s="2">
        <v>141252</v>
      </c>
      <c r="C41" s="2" t="s">
        <v>244</v>
      </c>
      <c r="E41" s="47">
        <f>(3150.8*12)*9/12</f>
        <v>28357.200000000001</v>
      </c>
    </row>
    <row r="42" spans="1:5">
      <c r="A42" s="168">
        <v>2039</v>
      </c>
      <c r="B42" s="2">
        <v>143942</v>
      </c>
      <c r="C42" s="2" t="s">
        <v>245</v>
      </c>
      <c r="E42" s="2"/>
    </row>
    <row r="43" spans="1:5">
      <c r="A43" s="168">
        <v>2226</v>
      </c>
      <c r="B43" s="2">
        <v>143088</v>
      </c>
      <c r="C43" s="2" t="s">
        <v>246</v>
      </c>
      <c r="E43" s="2"/>
    </row>
    <row r="44" spans="1:5">
      <c r="A44" s="168">
        <v>2170</v>
      </c>
      <c r="B44" s="2">
        <v>143908</v>
      </c>
      <c r="C44" s="2" t="s">
        <v>247</v>
      </c>
      <c r="E44" s="2"/>
    </row>
    <row r="45" spans="1:5">
      <c r="A45" s="168">
        <v>2047</v>
      </c>
      <c r="B45" s="2">
        <v>138395</v>
      </c>
      <c r="C45" s="2" t="s">
        <v>248</v>
      </c>
      <c r="E45" s="2"/>
    </row>
    <row r="46" spans="1:5">
      <c r="A46" s="168">
        <v>2140</v>
      </c>
      <c r="B46" s="2">
        <v>140159</v>
      </c>
      <c r="C46" s="2" t="s">
        <v>249</v>
      </c>
      <c r="E46" s="2"/>
    </row>
    <row r="47" spans="1:5">
      <c r="A47" s="168">
        <v>4042</v>
      </c>
      <c r="B47" s="2">
        <v>148589</v>
      </c>
      <c r="C47" s="2" t="s">
        <v>250</v>
      </c>
      <c r="E47" s="2"/>
    </row>
    <row r="48" spans="1:5">
      <c r="A48" s="168">
        <v>4039</v>
      </c>
      <c r="B48" s="2">
        <v>148187</v>
      </c>
      <c r="C48" s="2" t="s">
        <v>251</v>
      </c>
      <c r="E48" s="2"/>
    </row>
    <row r="49" spans="1:5">
      <c r="A49" s="168">
        <v>2194</v>
      </c>
      <c r="B49" s="2">
        <v>146385</v>
      </c>
      <c r="C49" s="2" t="s">
        <v>252</v>
      </c>
      <c r="E49" s="2"/>
    </row>
    <row r="50" spans="1:5">
      <c r="A50" s="168">
        <v>4022</v>
      </c>
      <c r="B50" s="2">
        <v>142388</v>
      </c>
      <c r="C50" s="2" t="s">
        <v>253</v>
      </c>
      <c r="E50" s="2"/>
    </row>
    <row r="51" spans="1:5">
      <c r="A51" s="168">
        <v>2052</v>
      </c>
      <c r="B51" s="2">
        <v>146696</v>
      </c>
      <c r="C51" s="2" t="s">
        <v>254</v>
      </c>
      <c r="E51" s="2"/>
    </row>
    <row r="52" spans="1:5">
      <c r="A52" s="168">
        <v>2082</v>
      </c>
      <c r="B52" s="2">
        <v>143086</v>
      </c>
      <c r="C52" s="2" t="s">
        <v>255</v>
      </c>
      <c r="E52" s="2"/>
    </row>
    <row r="53" spans="1:5">
      <c r="A53" s="168">
        <v>2299</v>
      </c>
      <c r="B53" s="2">
        <v>140706</v>
      </c>
      <c r="C53" s="2" t="s">
        <v>256</v>
      </c>
      <c r="E53" s="2"/>
    </row>
    <row r="54" spans="1:5">
      <c r="A54" s="168">
        <v>2191</v>
      </c>
      <c r="B54" s="2">
        <v>151017</v>
      </c>
      <c r="C54" s="2" t="s">
        <v>149</v>
      </c>
      <c r="E54" s="2"/>
    </row>
    <row r="55" spans="1:5">
      <c r="A55" s="168">
        <v>2060</v>
      </c>
      <c r="B55" s="2">
        <v>143563</v>
      </c>
      <c r="C55" s="2" t="s">
        <v>257</v>
      </c>
      <c r="E55" s="2"/>
    </row>
    <row r="56" spans="1:5">
      <c r="A56" s="168">
        <v>4129</v>
      </c>
      <c r="B56" s="2">
        <v>143438</v>
      </c>
      <c r="C56" s="2" t="s">
        <v>258</v>
      </c>
      <c r="E56" s="2"/>
    </row>
    <row r="57" spans="1:5">
      <c r="A57" s="168">
        <v>2219</v>
      </c>
      <c r="B57" s="2">
        <v>150709</v>
      </c>
      <c r="C57" s="2" t="s">
        <v>150</v>
      </c>
      <c r="E57" s="2"/>
    </row>
    <row r="58" spans="1:5">
      <c r="A58" s="168">
        <v>2065</v>
      </c>
      <c r="B58" s="2">
        <v>138218</v>
      </c>
      <c r="C58" s="2" t="s">
        <v>259</v>
      </c>
      <c r="E58" s="2"/>
    </row>
    <row r="59" spans="1:5">
      <c r="A59" s="168">
        <v>6905</v>
      </c>
      <c r="B59" s="2">
        <v>135907</v>
      </c>
      <c r="C59" s="2" t="s">
        <v>260</v>
      </c>
      <c r="E59" s="2"/>
    </row>
    <row r="60" spans="1:5">
      <c r="A60" s="168">
        <v>2048</v>
      </c>
      <c r="B60" s="2">
        <v>138396</v>
      </c>
      <c r="C60" s="2" t="s">
        <v>261</v>
      </c>
      <c r="E60" s="2"/>
    </row>
    <row r="61" spans="1:5">
      <c r="A61" s="168">
        <v>6909</v>
      </c>
      <c r="B61" s="2">
        <v>136032</v>
      </c>
      <c r="C61" s="2" t="s">
        <v>262</v>
      </c>
      <c r="E61" s="2"/>
    </row>
    <row r="62" spans="1:5">
      <c r="A62" s="168">
        <v>6907</v>
      </c>
      <c r="B62" s="2">
        <v>135911</v>
      </c>
      <c r="C62" s="2" t="s">
        <v>263</v>
      </c>
      <c r="E62" s="2"/>
    </row>
    <row r="63" spans="1:5">
      <c r="A63" s="168">
        <v>1105</v>
      </c>
      <c r="B63" s="2">
        <v>138775</v>
      </c>
      <c r="C63" s="2" t="s">
        <v>264</v>
      </c>
      <c r="E63" s="2"/>
    </row>
    <row r="64" spans="1:5">
      <c r="A64" s="168">
        <v>1110</v>
      </c>
      <c r="B64" s="2">
        <v>141739</v>
      </c>
      <c r="C64" s="2" t="s">
        <v>265</v>
      </c>
      <c r="E64" s="2"/>
    </row>
    <row r="65" spans="1:5">
      <c r="A65" s="168">
        <v>4032</v>
      </c>
      <c r="B65" s="2">
        <v>145878</v>
      </c>
      <c r="C65" s="2" t="s">
        <v>266</v>
      </c>
      <c r="E65" s="2"/>
    </row>
    <row r="66" spans="1:5">
      <c r="A66" s="168">
        <v>4021</v>
      </c>
      <c r="B66" s="2">
        <v>141969</v>
      </c>
      <c r="C66" s="2" t="s">
        <v>267</v>
      </c>
      <c r="E66" s="2"/>
    </row>
    <row r="67" spans="1:5">
      <c r="A67" s="168">
        <v>4035</v>
      </c>
      <c r="B67" s="2">
        <v>147201</v>
      </c>
      <c r="C67" s="2" t="s">
        <v>268</v>
      </c>
      <c r="E67" s="2"/>
    </row>
    <row r="68" spans="1:5">
      <c r="A68" s="168">
        <v>2168</v>
      </c>
      <c r="B68" s="2">
        <v>143413</v>
      </c>
      <c r="C68" s="2" t="s">
        <v>269</v>
      </c>
      <c r="E68" s="2"/>
    </row>
    <row r="69" spans="1:5">
      <c r="A69" s="168">
        <v>2036</v>
      </c>
      <c r="B69" s="2">
        <v>138194</v>
      </c>
      <c r="C69" s="2" t="s">
        <v>270</v>
      </c>
      <c r="E69" s="2"/>
    </row>
    <row r="70" spans="1:5">
      <c r="A70" s="168">
        <v>5410</v>
      </c>
      <c r="B70" s="2">
        <v>136908</v>
      </c>
      <c r="C70" s="2" t="s">
        <v>271</v>
      </c>
      <c r="E70" s="2"/>
    </row>
    <row r="71" spans="1:5">
      <c r="A71" s="168">
        <v>2310</v>
      </c>
      <c r="B71" s="2">
        <v>139484</v>
      </c>
      <c r="C71" s="2" t="s">
        <v>272</v>
      </c>
      <c r="E71" s="2"/>
    </row>
    <row r="72" spans="1:5">
      <c r="A72" s="168">
        <v>2475</v>
      </c>
      <c r="B72" s="2">
        <v>143089</v>
      </c>
      <c r="C72" s="2" t="s">
        <v>273</v>
      </c>
      <c r="E72" s="2"/>
    </row>
    <row r="73" spans="1:5">
      <c r="A73" s="168">
        <v>5403</v>
      </c>
      <c r="B73" s="2">
        <v>143435</v>
      </c>
      <c r="C73" s="2" t="s">
        <v>274</v>
      </c>
      <c r="E73" s="2"/>
    </row>
    <row r="74" spans="1:5">
      <c r="A74" s="168">
        <v>4005</v>
      </c>
      <c r="B74" s="2">
        <v>139047</v>
      </c>
      <c r="C74" s="2" t="s">
        <v>275</v>
      </c>
      <c r="E74" s="2"/>
    </row>
    <row r="75" spans="1:5">
      <c r="A75" s="168">
        <v>2109</v>
      </c>
      <c r="B75" s="2">
        <v>139131</v>
      </c>
      <c r="C75" s="2" t="s">
        <v>276</v>
      </c>
      <c r="E75" s="2"/>
    </row>
    <row r="76" spans="1:5">
      <c r="A76" s="168">
        <v>5412</v>
      </c>
      <c r="B76" s="2">
        <v>138695</v>
      </c>
      <c r="C76" s="2" t="s">
        <v>277</v>
      </c>
      <c r="E76" s="2"/>
    </row>
    <row r="77" spans="1:5">
      <c r="A77" s="168">
        <v>2448</v>
      </c>
      <c r="B77" s="2">
        <v>142794</v>
      </c>
      <c r="C77" s="2" t="s">
        <v>278</v>
      </c>
      <c r="E77" s="2"/>
    </row>
    <row r="78" spans="1:5">
      <c r="A78" s="168">
        <v>2451</v>
      </c>
      <c r="B78" s="2">
        <v>141610</v>
      </c>
      <c r="C78" s="2" t="s">
        <v>279</v>
      </c>
      <c r="E78" s="2"/>
    </row>
    <row r="79" spans="1:5">
      <c r="A79" s="168">
        <v>2085</v>
      </c>
      <c r="B79" s="2">
        <v>138693</v>
      </c>
      <c r="C79" s="2" t="s">
        <v>280</v>
      </c>
      <c r="E79" s="2"/>
    </row>
    <row r="80" spans="1:5">
      <c r="A80" s="168">
        <v>4006</v>
      </c>
      <c r="B80" s="2">
        <v>139048</v>
      </c>
      <c r="C80" s="2" t="s">
        <v>281</v>
      </c>
      <c r="E80" s="2"/>
    </row>
    <row r="81" spans="1:5">
      <c r="A81" s="168">
        <v>2086</v>
      </c>
      <c r="B81" s="2">
        <v>143090</v>
      </c>
      <c r="C81" s="2" t="s">
        <v>282</v>
      </c>
      <c r="E81" s="2"/>
    </row>
    <row r="82" spans="1:5">
      <c r="A82" s="168">
        <v>2138</v>
      </c>
      <c r="B82" s="2">
        <v>139904</v>
      </c>
      <c r="C82" s="2" t="s">
        <v>283</v>
      </c>
      <c r="E82" s="2"/>
    </row>
    <row r="83" spans="1:5">
      <c r="A83" s="168">
        <v>3316</v>
      </c>
      <c r="B83" s="2">
        <v>148081</v>
      </c>
      <c r="C83" s="2" t="s">
        <v>284</v>
      </c>
      <c r="E83" s="2"/>
    </row>
    <row r="84" spans="1:5">
      <c r="A84" s="168">
        <v>5409</v>
      </c>
      <c r="B84" s="2">
        <v>137858</v>
      </c>
      <c r="C84" s="2" t="s">
        <v>285</v>
      </c>
      <c r="E84" s="2"/>
    </row>
    <row r="85" spans="1:5">
      <c r="A85" s="168">
        <v>7000</v>
      </c>
      <c r="B85" s="2">
        <v>144336</v>
      </c>
      <c r="C85" s="2" t="s">
        <v>286</v>
      </c>
      <c r="E85" s="2"/>
    </row>
    <row r="86" spans="1:5">
      <c r="A86" s="168">
        <v>4240</v>
      </c>
      <c r="B86" s="2">
        <v>139746</v>
      </c>
      <c r="C86" s="2" t="s">
        <v>287</v>
      </c>
      <c r="E86" s="2"/>
    </row>
    <row r="87" spans="1:5">
      <c r="A87" s="168">
        <v>6910</v>
      </c>
      <c r="B87" s="2">
        <v>136213</v>
      </c>
      <c r="C87" s="2" t="s">
        <v>288</v>
      </c>
      <c r="E87" s="2"/>
    </row>
    <row r="88" spans="1:5">
      <c r="A88" s="168">
        <v>2121</v>
      </c>
      <c r="B88" s="2">
        <v>139269</v>
      </c>
      <c r="C88" s="2" t="s">
        <v>289</v>
      </c>
      <c r="E88" s="2"/>
    </row>
    <row r="89" spans="1:5">
      <c r="A89" s="168">
        <v>2313</v>
      </c>
      <c r="B89" s="2">
        <v>149366</v>
      </c>
      <c r="C89" s="2" t="s">
        <v>290</v>
      </c>
      <c r="E89" s="2"/>
    </row>
    <row r="90" spans="1:5">
      <c r="A90" s="168">
        <v>2309</v>
      </c>
      <c r="B90" s="2">
        <v>142231</v>
      </c>
      <c r="C90" s="2" t="s">
        <v>291</v>
      </c>
      <c r="E90" s="2"/>
    </row>
    <row r="91" spans="1:5">
      <c r="A91" s="168">
        <v>2455</v>
      </c>
      <c r="B91" s="2">
        <v>140890</v>
      </c>
      <c r="C91" s="2" t="s">
        <v>292</v>
      </c>
      <c r="E91" s="2"/>
    </row>
    <row r="92" spans="1:5">
      <c r="A92" s="168">
        <v>2165</v>
      </c>
      <c r="B92" s="2">
        <v>142570</v>
      </c>
      <c r="C92" s="2" t="s">
        <v>293</v>
      </c>
      <c r="E92" s="2"/>
    </row>
    <row r="93" spans="1:5">
      <c r="A93" s="168">
        <v>2210</v>
      </c>
      <c r="B93" s="2">
        <v>149483</v>
      </c>
      <c r="C93" s="2" t="s">
        <v>294</v>
      </c>
      <c r="E93" s="2"/>
    </row>
    <row r="94" spans="1:5">
      <c r="A94" s="168">
        <v>3429</v>
      </c>
      <c r="B94" s="2">
        <v>139520</v>
      </c>
      <c r="C94" s="2" t="s">
        <v>295</v>
      </c>
      <c r="E94" s="2"/>
    </row>
    <row r="95" spans="1:5">
      <c r="A95" s="168">
        <v>4012</v>
      </c>
      <c r="B95" s="2">
        <v>137346</v>
      </c>
      <c r="C95" s="2" t="s">
        <v>296</v>
      </c>
      <c r="E95" s="2"/>
    </row>
    <row r="96" spans="1:5">
      <c r="A96" s="168">
        <v>2434</v>
      </c>
      <c r="B96" s="2">
        <v>141270</v>
      </c>
      <c r="C96" s="2" t="s">
        <v>297</v>
      </c>
      <c r="E96" s="2"/>
    </row>
    <row r="97" spans="1:5">
      <c r="A97" s="168">
        <v>3430</v>
      </c>
      <c r="B97" s="2">
        <v>143869</v>
      </c>
      <c r="C97" s="2" t="s">
        <v>298</v>
      </c>
      <c r="E97" s="2"/>
    </row>
    <row r="98" spans="1:5">
      <c r="A98" s="168">
        <v>2429</v>
      </c>
      <c r="B98" s="2">
        <v>149305</v>
      </c>
      <c r="C98" s="2" t="s">
        <v>299</v>
      </c>
      <c r="E98" s="2"/>
    </row>
    <row r="99" spans="1:5">
      <c r="A99" s="168">
        <v>2288</v>
      </c>
      <c r="B99" s="2">
        <v>149607</v>
      </c>
      <c r="C99" s="2" t="s">
        <v>300</v>
      </c>
      <c r="E99" s="2"/>
    </row>
    <row r="100" spans="1:5">
      <c r="A100" s="168">
        <v>3402</v>
      </c>
      <c r="B100" s="2">
        <v>140525</v>
      </c>
      <c r="C100" s="2" t="s">
        <v>301</v>
      </c>
      <c r="E100" s="2"/>
    </row>
    <row r="101" spans="1:5">
      <c r="A101" s="168">
        <v>2199</v>
      </c>
      <c r="B101" s="2">
        <v>147009</v>
      </c>
      <c r="C101" s="2" t="s">
        <v>302</v>
      </c>
      <c r="E101" s="2"/>
    </row>
    <row r="102" spans="1:5">
      <c r="A102" s="168">
        <v>4026</v>
      </c>
      <c r="B102" s="2">
        <v>144719</v>
      </c>
      <c r="C102" s="2" t="s">
        <v>303</v>
      </c>
      <c r="E102" s="2"/>
    </row>
    <row r="103" spans="1:5">
      <c r="A103" s="168">
        <v>3303</v>
      </c>
      <c r="B103" s="2">
        <v>140463</v>
      </c>
      <c r="C103" s="2" t="s">
        <v>304</v>
      </c>
      <c r="E103" s="2"/>
    </row>
    <row r="104" spans="1:5">
      <c r="A104" s="168">
        <v>4241</v>
      </c>
      <c r="B104" s="2">
        <v>137034</v>
      </c>
      <c r="C104" s="2" t="s">
        <v>305</v>
      </c>
      <c r="E104" s="2"/>
    </row>
    <row r="105" spans="1:5">
      <c r="A105" s="168">
        <v>7063</v>
      </c>
      <c r="B105" s="2">
        <v>139526</v>
      </c>
      <c r="C105" s="2" t="s">
        <v>306</v>
      </c>
      <c r="E105" s="2"/>
    </row>
    <row r="106" spans="1:5">
      <c r="A106" s="168">
        <v>2111</v>
      </c>
      <c r="B106" s="2">
        <v>142353</v>
      </c>
      <c r="C106" s="2" t="s">
        <v>307</v>
      </c>
      <c r="E106" s="2"/>
    </row>
    <row r="107" spans="1:5">
      <c r="A107" s="168">
        <v>4016</v>
      </c>
      <c r="B107" s="2">
        <v>141003</v>
      </c>
      <c r="C107" s="2" t="s">
        <v>308</v>
      </c>
      <c r="E107" s="2"/>
    </row>
    <row r="108" spans="1:5">
      <c r="A108" s="168">
        <v>5408</v>
      </c>
      <c r="B108" s="2">
        <v>137043</v>
      </c>
      <c r="C108" s="2" t="s">
        <v>309</v>
      </c>
      <c r="E108" s="2"/>
    </row>
    <row r="109" spans="1:5">
      <c r="A109" s="168">
        <v>4036</v>
      </c>
      <c r="B109" s="2">
        <v>147440</v>
      </c>
      <c r="C109" s="2" t="s">
        <v>310</v>
      </c>
      <c r="E109" s="2"/>
    </row>
    <row r="110" spans="1:5">
      <c r="A110" s="168">
        <v>5407</v>
      </c>
      <c r="B110" s="2">
        <v>137045</v>
      </c>
      <c r="C110" s="2" t="s">
        <v>311</v>
      </c>
      <c r="E110" s="2"/>
    </row>
    <row r="111" spans="1:5">
      <c r="A111" s="168">
        <v>5406</v>
      </c>
      <c r="B111" s="2">
        <v>137044</v>
      </c>
      <c r="C111" s="2" t="s">
        <v>312</v>
      </c>
      <c r="E111" s="2"/>
    </row>
    <row r="112" spans="1:5">
      <c r="A112" s="168">
        <v>5405</v>
      </c>
      <c r="B112" s="2">
        <v>137046</v>
      </c>
      <c r="C112" s="2" t="s">
        <v>313</v>
      </c>
      <c r="E112" s="2"/>
    </row>
    <row r="113" spans="1:5">
      <c r="A113" s="168">
        <v>5402</v>
      </c>
      <c r="B113" s="2">
        <v>143562</v>
      </c>
      <c r="C113" s="2" t="s">
        <v>314</v>
      </c>
      <c r="E113" s="2"/>
    </row>
    <row r="114" spans="1:5">
      <c r="A114" s="168">
        <v>5404</v>
      </c>
      <c r="B114" s="2">
        <v>137047</v>
      </c>
      <c r="C114" s="2" t="s">
        <v>315</v>
      </c>
      <c r="E114" s="2"/>
    </row>
    <row r="115" spans="1:5">
      <c r="A115" s="168">
        <v>4207</v>
      </c>
      <c r="B115" s="2">
        <v>138937</v>
      </c>
      <c r="C115" s="2" t="s">
        <v>316</v>
      </c>
      <c r="E115" s="2"/>
    </row>
    <row r="116" spans="1:5">
      <c r="A116" s="168">
        <v>5415</v>
      </c>
      <c r="B116" s="2">
        <v>150320</v>
      </c>
      <c r="C116" s="2" t="s">
        <v>317</v>
      </c>
      <c r="E116" s="2"/>
    </row>
    <row r="117" spans="1:5">
      <c r="A117" s="168">
        <v>4060</v>
      </c>
      <c r="B117" s="2">
        <v>136592</v>
      </c>
      <c r="C117" s="2" t="s">
        <v>318</v>
      </c>
      <c r="E117" s="2"/>
    </row>
    <row r="118" spans="1:5">
      <c r="A118" s="168">
        <v>4187</v>
      </c>
      <c r="B118" s="2">
        <v>148684</v>
      </c>
      <c r="C118" s="2" t="s">
        <v>319</v>
      </c>
      <c r="E118" s="2"/>
    </row>
    <row r="119" spans="1:5">
      <c r="A119" s="168">
        <v>6906</v>
      </c>
      <c r="B119" s="2">
        <v>136152</v>
      </c>
      <c r="C119" s="2" t="s">
        <v>320</v>
      </c>
      <c r="E119" s="2"/>
    </row>
    <row r="120" spans="1:5">
      <c r="A120" s="168">
        <v>5414</v>
      </c>
      <c r="B120" s="2">
        <v>136590</v>
      </c>
      <c r="C120" s="2" t="s">
        <v>321</v>
      </c>
      <c r="E120" s="2"/>
    </row>
    <row r="121" spans="1:5">
      <c r="A121" s="168">
        <v>2209</v>
      </c>
      <c r="B121" s="2">
        <v>149131</v>
      </c>
      <c r="C121" s="2" t="s">
        <v>322</v>
      </c>
      <c r="E121" s="2"/>
    </row>
    <row r="122" spans="1:5">
      <c r="A122" s="168">
        <v>2073</v>
      </c>
      <c r="B122" s="2">
        <v>138889</v>
      </c>
      <c r="C122" s="2" t="s">
        <v>323</v>
      </c>
      <c r="E122" s="2"/>
    </row>
    <row r="123" spans="1:5">
      <c r="A123" s="168">
        <v>2119</v>
      </c>
      <c r="B123" s="2">
        <v>150181</v>
      </c>
      <c r="C123" s="2" t="s">
        <v>324</v>
      </c>
      <c r="E123" s="2"/>
    </row>
    <row r="124" spans="1:5">
      <c r="A124" s="168">
        <v>2096</v>
      </c>
      <c r="B124" s="2">
        <v>139003</v>
      </c>
      <c r="C124" s="2" t="s">
        <v>325</v>
      </c>
      <c r="E124" s="2"/>
    </row>
    <row r="125" spans="1:5">
      <c r="A125" s="168">
        <v>7005</v>
      </c>
      <c r="B125" s="2">
        <v>148722</v>
      </c>
      <c r="C125" s="2" t="s">
        <v>326</v>
      </c>
      <c r="E125" s="2"/>
    </row>
    <row r="126" spans="1:5">
      <c r="A126" s="168">
        <v>2453</v>
      </c>
      <c r="B126" s="2">
        <v>140502</v>
      </c>
      <c r="C126" s="2" t="s">
        <v>327</v>
      </c>
      <c r="E126" s="2"/>
    </row>
    <row r="127" spans="1:5">
      <c r="A127" s="168">
        <v>2207</v>
      </c>
      <c r="B127" s="2">
        <v>148653</v>
      </c>
      <c r="C127" s="2" t="s">
        <v>328</v>
      </c>
      <c r="E127" s="2"/>
    </row>
    <row r="128" spans="1:5">
      <c r="A128" s="168">
        <v>4029</v>
      </c>
      <c r="B128" s="2">
        <v>145120</v>
      </c>
      <c r="C128" s="2" t="s">
        <v>329</v>
      </c>
      <c r="E128" s="2"/>
    </row>
    <row r="129" spans="1:5">
      <c r="A129" s="168">
        <v>2162</v>
      </c>
      <c r="B129" s="2">
        <v>141977</v>
      </c>
      <c r="C129" s="2" t="s">
        <v>330</v>
      </c>
      <c r="E129" s="2"/>
    </row>
    <row r="130" spans="1:5">
      <c r="A130" s="168">
        <v>2075</v>
      </c>
      <c r="B130" s="2">
        <v>138998</v>
      </c>
      <c r="C130" s="2" t="s">
        <v>331</v>
      </c>
      <c r="E130" s="2"/>
    </row>
    <row r="131" spans="1:5">
      <c r="A131" s="168">
        <v>2132</v>
      </c>
      <c r="B131" s="2">
        <v>146701</v>
      </c>
      <c r="C131" s="2" t="s">
        <v>332</v>
      </c>
      <c r="E131" s="2"/>
    </row>
    <row r="132" spans="1:5">
      <c r="A132" s="168">
        <v>3322</v>
      </c>
      <c r="B132" s="2">
        <v>151625</v>
      </c>
      <c r="C132" s="2" t="s">
        <v>12</v>
      </c>
      <c r="E132" s="2"/>
    </row>
    <row r="133" spans="1:5">
      <c r="A133" s="168">
        <v>7004</v>
      </c>
      <c r="B133" s="2">
        <v>148225</v>
      </c>
      <c r="C133" s="2" t="s">
        <v>333</v>
      </c>
      <c r="E133" s="2"/>
    </row>
    <row r="134" spans="1:5">
      <c r="A134" s="168">
        <v>2463</v>
      </c>
      <c r="B134" s="2">
        <v>139452</v>
      </c>
      <c r="C134" s="2" t="s">
        <v>334</v>
      </c>
      <c r="E134" s="2"/>
    </row>
    <row r="135" spans="1:5">
      <c r="A135" s="168">
        <v>2100</v>
      </c>
      <c r="B135" s="2">
        <v>139014</v>
      </c>
      <c r="C135" s="2" t="s">
        <v>335</v>
      </c>
      <c r="E135" s="2"/>
    </row>
    <row r="136" spans="1:5">
      <c r="A136" s="168">
        <v>2070</v>
      </c>
      <c r="B136" s="2">
        <v>138864</v>
      </c>
      <c r="C136" s="2" t="s">
        <v>336</v>
      </c>
      <c r="E136" s="2"/>
    </row>
    <row r="137" spans="1:5">
      <c r="A137" s="168">
        <v>2078</v>
      </c>
      <c r="B137" s="2">
        <v>139000</v>
      </c>
      <c r="C137" s="2" t="s">
        <v>337</v>
      </c>
      <c r="E137" s="2"/>
    </row>
    <row r="138" spans="1:5">
      <c r="A138" s="168">
        <v>2038</v>
      </c>
      <c r="B138" s="2">
        <v>138799</v>
      </c>
      <c r="C138" s="2" t="s">
        <v>338</v>
      </c>
      <c r="E138" s="2"/>
    </row>
    <row r="139" spans="1:5">
      <c r="A139" s="168">
        <v>5411</v>
      </c>
      <c r="B139" s="2">
        <v>136406</v>
      </c>
      <c r="C139" s="2" t="s">
        <v>339</v>
      </c>
      <c r="E139" s="2"/>
    </row>
    <row r="140" spans="1:5">
      <c r="A140" s="168">
        <v>4004</v>
      </c>
      <c r="B140" s="2">
        <v>138586</v>
      </c>
      <c r="C140" s="2" t="s">
        <v>340</v>
      </c>
      <c r="E140" s="2"/>
    </row>
    <row r="141" spans="1:5">
      <c r="A141" s="168">
        <v>2032</v>
      </c>
      <c r="B141" s="2">
        <v>137492</v>
      </c>
      <c r="C141" s="2" t="s">
        <v>341</v>
      </c>
      <c r="E141" s="2"/>
    </row>
    <row r="142" spans="1:5">
      <c r="A142" s="168">
        <v>2315</v>
      </c>
      <c r="B142" s="2">
        <v>142358</v>
      </c>
      <c r="C142" s="2" t="s">
        <v>342</v>
      </c>
      <c r="E142" s="2"/>
    </row>
    <row r="143" spans="1:5">
      <c r="A143" s="168">
        <v>2263</v>
      </c>
      <c r="B143" s="2">
        <v>142203</v>
      </c>
      <c r="C143" s="2" t="s">
        <v>343</v>
      </c>
      <c r="E143" s="2"/>
    </row>
    <row r="144" spans="1:5">
      <c r="A144" s="168">
        <v>2212</v>
      </c>
      <c r="B144" s="2">
        <v>150692</v>
      </c>
      <c r="C144" s="2" t="s">
        <v>344</v>
      </c>
      <c r="E144" s="2"/>
    </row>
    <row r="145" spans="1:5">
      <c r="A145" s="168">
        <v>2102</v>
      </c>
      <c r="B145" s="2">
        <v>139120</v>
      </c>
      <c r="C145" s="2" t="s">
        <v>345</v>
      </c>
      <c r="E145" s="2"/>
    </row>
    <row r="146" spans="1:5">
      <c r="A146" s="168">
        <v>2107</v>
      </c>
      <c r="B146" s="2">
        <v>139129</v>
      </c>
      <c r="C146" s="2" t="s">
        <v>346</v>
      </c>
      <c r="E146" s="2"/>
    </row>
    <row r="147" spans="1:5">
      <c r="A147" s="168">
        <v>2117</v>
      </c>
      <c r="B147" s="2">
        <v>139242</v>
      </c>
      <c r="C147" s="2" t="s">
        <v>347</v>
      </c>
      <c r="E147" s="2"/>
    </row>
    <row r="148" spans="1:5">
      <c r="A148" s="168">
        <v>2141</v>
      </c>
      <c r="B148" s="2">
        <v>140161</v>
      </c>
      <c r="C148" s="2" t="s">
        <v>348</v>
      </c>
      <c r="E148" s="2"/>
    </row>
    <row r="149" spans="1:5">
      <c r="A149" s="168">
        <v>2110</v>
      </c>
      <c r="B149" s="2">
        <v>139214</v>
      </c>
      <c r="C149" s="2" t="s">
        <v>349</v>
      </c>
      <c r="E149" s="2"/>
    </row>
    <row r="150" spans="1:5">
      <c r="A150" s="168">
        <v>2103</v>
      </c>
      <c r="B150" s="2">
        <v>139125</v>
      </c>
      <c r="C150" s="2" t="s">
        <v>350</v>
      </c>
      <c r="E150" s="2"/>
    </row>
    <row r="151" spans="1:5">
      <c r="A151" s="168">
        <v>2221</v>
      </c>
      <c r="B151" s="2">
        <v>150894</v>
      </c>
      <c r="C151" s="2" t="s">
        <v>351</v>
      </c>
      <c r="E151" s="2"/>
    </row>
    <row r="152" spans="1:5">
      <c r="A152" s="168">
        <v>2105</v>
      </c>
      <c r="B152" s="2">
        <v>139128</v>
      </c>
      <c r="C152" s="2" t="s">
        <v>352</v>
      </c>
      <c r="E152" s="2"/>
    </row>
    <row r="153" spans="1:5">
      <c r="A153" s="168">
        <v>2206</v>
      </c>
      <c r="B153" s="2">
        <v>147758</v>
      </c>
      <c r="C153" s="2" t="s">
        <v>353</v>
      </c>
      <c r="E153" s="2"/>
    </row>
    <row r="154" spans="1:5">
      <c r="A154" s="168">
        <v>3374</v>
      </c>
      <c r="B154" s="2">
        <v>141484</v>
      </c>
      <c r="C154" s="2" t="s">
        <v>354</v>
      </c>
      <c r="E154" s="2"/>
    </row>
    <row r="155" spans="1:5">
      <c r="A155" s="168">
        <v>3357</v>
      </c>
      <c r="B155" s="2">
        <v>148082</v>
      </c>
      <c r="C155" s="2" t="s">
        <v>355</v>
      </c>
      <c r="E155" s="2"/>
    </row>
    <row r="156" spans="1:5">
      <c r="A156" s="168">
        <v>2021</v>
      </c>
      <c r="B156" s="2">
        <v>150148</v>
      </c>
      <c r="C156" s="2" t="s">
        <v>356</v>
      </c>
      <c r="E156" s="2"/>
    </row>
    <row r="157" spans="1:5">
      <c r="A157" s="168">
        <v>2149</v>
      </c>
      <c r="B157" s="2">
        <v>150639</v>
      </c>
      <c r="C157" s="2" t="s">
        <v>151</v>
      </c>
      <c r="E157" s="2"/>
    </row>
    <row r="158" spans="1:5">
      <c r="A158" s="168">
        <v>2458</v>
      </c>
      <c r="B158" s="2">
        <v>139162</v>
      </c>
      <c r="C158" s="2" t="s">
        <v>357</v>
      </c>
      <c r="E158" s="2"/>
    </row>
    <row r="159" spans="1:5">
      <c r="A159" s="168">
        <v>2452</v>
      </c>
      <c r="B159" s="2">
        <v>139631</v>
      </c>
      <c r="C159" s="2" t="s">
        <v>358</v>
      </c>
      <c r="E159" s="2"/>
    </row>
    <row r="160" spans="1:5">
      <c r="A160" s="168">
        <v>2057</v>
      </c>
      <c r="B160" s="2">
        <v>138410</v>
      </c>
      <c r="C160" s="2" t="s">
        <v>359</v>
      </c>
      <c r="E160" s="2"/>
    </row>
    <row r="161" spans="1:5">
      <c r="A161" s="168">
        <v>4331</v>
      </c>
      <c r="B161" s="2">
        <v>137053</v>
      </c>
      <c r="C161" s="2" t="s">
        <v>360</v>
      </c>
      <c r="E161" s="2"/>
    </row>
    <row r="162" spans="1:5">
      <c r="A162" s="168">
        <v>4041</v>
      </c>
      <c r="B162" s="2">
        <v>148553</v>
      </c>
      <c r="C162" s="2" t="s">
        <v>361</v>
      </c>
      <c r="E162" s="2"/>
    </row>
    <row r="163" spans="1:5">
      <c r="A163" s="168">
        <v>2003</v>
      </c>
      <c r="B163" s="2">
        <v>142230</v>
      </c>
      <c r="C163" s="2" t="s">
        <v>362</v>
      </c>
      <c r="E163" s="2"/>
    </row>
    <row r="164" spans="1:5">
      <c r="A164" s="168">
        <v>2156</v>
      </c>
      <c r="B164" s="2">
        <v>143436</v>
      </c>
      <c r="C164" s="2" t="s">
        <v>363</v>
      </c>
      <c r="E164" s="2"/>
    </row>
    <row r="165" spans="1:5">
      <c r="A165" s="168">
        <v>2198</v>
      </c>
      <c r="B165" s="2">
        <v>146817</v>
      </c>
      <c r="C165" s="2" t="s">
        <v>364</v>
      </c>
      <c r="E165" s="2"/>
    </row>
    <row r="166" spans="1:5">
      <c r="A166" s="168">
        <v>7001</v>
      </c>
      <c r="B166" s="2">
        <v>146858</v>
      </c>
      <c r="C166" s="2" t="s">
        <v>365</v>
      </c>
      <c r="E166" s="2"/>
    </row>
    <row r="167" spans="1:5">
      <c r="A167" s="168">
        <v>3004</v>
      </c>
      <c r="B167" s="2">
        <v>143439</v>
      </c>
      <c r="C167" s="2" t="s">
        <v>366</v>
      </c>
      <c r="E167" s="2"/>
    </row>
    <row r="168" spans="1:5">
      <c r="A168" s="168">
        <v>1107</v>
      </c>
      <c r="B168" s="2">
        <v>139671</v>
      </c>
      <c r="C168" s="2" t="s">
        <v>367</v>
      </c>
      <c r="E168" s="2"/>
    </row>
    <row r="169" spans="1:5">
      <c r="A169" s="168">
        <v>2080</v>
      </c>
      <c r="B169" s="2">
        <v>139002</v>
      </c>
      <c r="C169" s="2" t="s">
        <v>368</v>
      </c>
      <c r="E169" s="2"/>
    </row>
    <row r="170" spans="1:5">
      <c r="A170" s="168">
        <v>2460</v>
      </c>
      <c r="B170" s="2">
        <v>140262</v>
      </c>
      <c r="C170" s="2" t="s">
        <v>369</v>
      </c>
      <c r="E170" s="2"/>
    </row>
    <row r="171" spans="1:5">
      <c r="A171" s="168">
        <v>4323</v>
      </c>
      <c r="B171" s="2">
        <v>138059</v>
      </c>
      <c r="C171" s="2" t="s">
        <v>370</v>
      </c>
      <c r="E171" s="2"/>
    </row>
    <row r="172" spans="1:5">
      <c r="A172" s="168">
        <v>2481</v>
      </c>
      <c r="B172" s="2">
        <v>137168</v>
      </c>
      <c r="C172" s="2" t="s">
        <v>371</v>
      </c>
      <c r="E172" s="2"/>
    </row>
    <row r="173" spans="1:5">
      <c r="A173" s="168">
        <v>2202</v>
      </c>
      <c r="B173" s="2">
        <v>147109</v>
      </c>
      <c r="C173" s="2" t="s">
        <v>372</v>
      </c>
      <c r="E173" s="2"/>
    </row>
    <row r="174" spans="1:5">
      <c r="A174" s="168">
        <v>3302</v>
      </c>
      <c r="B174" s="2">
        <v>147478</v>
      </c>
      <c r="C174" s="2" t="s">
        <v>373</v>
      </c>
      <c r="E174" s="2"/>
    </row>
    <row r="175" spans="1:5">
      <c r="A175" s="168">
        <v>4018</v>
      </c>
      <c r="B175" s="2">
        <v>141668</v>
      </c>
      <c r="C175" s="2" t="s">
        <v>374</v>
      </c>
      <c r="E175" s="2"/>
    </row>
    <row r="176" spans="1:5">
      <c r="A176" s="168">
        <v>2037</v>
      </c>
      <c r="B176" s="2">
        <v>138590</v>
      </c>
      <c r="C176" s="2" t="s">
        <v>375</v>
      </c>
      <c r="E176" s="2"/>
    </row>
    <row r="177" spans="1:5">
      <c r="A177" s="168">
        <v>4025</v>
      </c>
      <c r="B177" s="2">
        <v>144464</v>
      </c>
      <c r="C177" s="2" t="s">
        <v>376</v>
      </c>
      <c r="E177" s="2"/>
    </row>
    <row r="178" spans="1:5">
      <c r="A178" s="168">
        <v>2181</v>
      </c>
      <c r="B178" s="2">
        <v>144722</v>
      </c>
      <c r="C178" s="2" t="s">
        <v>377</v>
      </c>
      <c r="E178" s="2"/>
    </row>
    <row r="179" spans="1:5">
      <c r="A179" s="168">
        <v>2187</v>
      </c>
      <c r="B179" s="2">
        <v>146268</v>
      </c>
      <c r="C179" s="2" t="s">
        <v>378</v>
      </c>
      <c r="E179" s="2"/>
    </row>
    <row r="180" spans="1:5">
      <c r="A180" s="168">
        <v>3362</v>
      </c>
      <c r="B180" s="2">
        <v>146298</v>
      </c>
      <c r="C180" s="2" t="s">
        <v>379</v>
      </c>
      <c r="E180" s="2"/>
    </row>
    <row r="181" spans="1:5">
      <c r="A181" s="168">
        <v>3330</v>
      </c>
      <c r="B181" s="2">
        <v>141815</v>
      </c>
      <c r="C181" s="2" t="s">
        <v>380</v>
      </c>
      <c r="E181" s="2"/>
    </row>
    <row r="182" spans="1:5">
      <c r="A182" s="168">
        <v>3337</v>
      </c>
      <c r="B182" s="2">
        <v>148440</v>
      </c>
      <c r="C182" s="2" t="s">
        <v>381</v>
      </c>
      <c r="E182" s="2"/>
    </row>
    <row r="183" spans="1:5">
      <c r="A183" s="168">
        <v>2059</v>
      </c>
      <c r="B183" s="2">
        <v>138432</v>
      </c>
      <c r="C183" s="2" t="s">
        <v>382</v>
      </c>
      <c r="E183" s="2"/>
    </row>
    <row r="184" spans="1:5">
      <c r="A184" s="168">
        <v>2154</v>
      </c>
      <c r="B184" s="2">
        <v>141669</v>
      </c>
      <c r="C184" s="2" t="s">
        <v>383</v>
      </c>
      <c r="E184" s="2"/>
    </row>
    <row r="185" spans="1:5">
      <c r="A185" s="168">
        <v>4663</v>
      </c>
      <c r="B185" s="2">
        <v>147707</v>
      </c>
      <c r="C185" s="2" t="s">
        <v>384</v>
      </c>
      <c r="E185" s="2"/>
    </row>
    <row r="186" spans="1:5">
      <c r="A186" s="168">
        <v>5205</v>
      </c>
      <c r="B186" s="2">
        <v>143434</v>
      </c>
      <c r="C186" s="2" t="s">
        <v>385</v>
      </c>
      <c r="E186" s="2"/>
    </row>
    <row r="187" spans="1:5">
      <c r="A187" s="168">
        <v>2104</v>
      </c>
      <c r="B187" s="2">
        <v>139126</v>
      </c>
      <c r="C187" s="2" t="s">
        <v>386</v>
      </c>
      <c r="E187" s="2"/>
    </row>
    <row r="188" spans="1:5">
      <c r="A188" s="168">
        <v>2120</v>
      </c>
      <c r="B188" s="2">
        <v>139267</v>
      </c>
      <c r="C188" s="2" t="s">
        <v>387</v>
      </c>
      <c r="E188" s="2"/>
    </row>
    <row r="189" spans="1:5">
      <c r="A189" s="168">
        <v>3358</v>
      </c>
      <c r="B189" s="2">
        <v>141820</v>
      </c>
      <c r="C189" s="2" t="s">
        <v>388</v>
      </c>
      <c r="E189" s="2"/>
    </row>
    <row r="190" spans="1:5">
      <c r="A190" s="168">
        <v>3360</v>
      </c>
      <c r="B190" s="2">
        <v>148266</v>
      </c>
      <c r="C190" s="2" t="s">
        <v>389</v>
      </c>
      <c r="E190" s="2"/>
    </row>
    <row r="191" spans="1:5">
      <c r="A191" s="168">
        <v>2071</v>
      </c>
      <c r="B191" s="2">
        <v>138883</v>
      </c>
      <c r="C191" s="2" t="s">
        <v>390</v>
      </c>
      <c r="E191" s="2"/>
    </row>
    <row r="192" spans="1:5">
      <c r="A192" s="168">
        <v>3306</v>
      </c>
      <c r="B192" s="2">
        <v>139173</v>
      </c>
      <c r="C192" s="2" t="s">
        <v>391</v>
      </c>
      <c r="E192" s="2"/>
    </row>
    <row r="193" spans="1:5">
      <c r="A193" s="168">
        <v>2158</v>
      </c>
      <c r="B193" s="2">
        <v>141670</v>
      </c>
      <c r="C193" s="2" t="s">
        <v>392</v>
      </c>
      <c r="E193" s="2"/>
    </row>
    <row r="194" spans="1:5">
      <c r="A194" s="168">
        <v>3339</v>
      </c>
      <c r="B194" s="2">
        <v>148441</v>
      </c>
      <c r="C194" s="2" t="s">
        <v>393</v>
      </c>
      <c r="E194" s="2"/>
    </row>
    <row r="195" spans="1:5">
      <c r="A195" s="168">
        <v>3401</v>
      </c>
      <c r="B195" s="2">
        <v>140528</v>
      </c>
      <c r="C195" s="2" t="s">
        <v>394</v>
      </c>
      <c r="E195" s="2"/>
    </row>
    <row r="196" spans="1:5">
      <c r="A196" s="168">
        <v>3383</v>
      </c>
      <c r="B196" s="2">
        <v>148973</v>
      </c>
      <c r="C196" s="2" t="s">
        <v>395</v>
      </c>
      <c r="E196" s="2"/>
    </row>
    <row r="197" spans="1:5">
      <c r="A197" s="168">
        <v>3015</v>
      </c>
      <c r="B197" s="2">
        <v>139041</v>
      </c>
      <c r="C197" s="2" t="s">
        <v>396</v>
      </c>
      <c r="E197" s="2"/>
    </row>
    <row r="198" spans="1:5">
      <c r="A198" s="168">
        <v>3311</v>
      </c>
      <c r="B198" s="2">
        <v>139174</v>
      </c>
      <c r="C198" s="2" t="s">
        <v>397</v>
      </c>
      <c r="E198" s="2"/>
    </row>
    <row r="199" spans="1:5">
      <c r="A199" s="168">
        <v>2061</v>
      </c>
      <c r="B199" s="2">
        <v>138433</v>
      </c>
      <c r="C199" s="2" t="s">
        <v>398</v>
      </c>
      <c r="E199" s="2"/>
    </row>
    <row r="200" spans="1:5">
      <c r="A200" s="168">
        <v>3403</v>
      </c>
      <c r="B200" s="2">
        <v>140529</v>
      </c>
      <c r="C200" s="2" t="s">
        <v>399</v>
      </c>
      <c r="E200" s="2"/>
    </row>
    <row r="201" spans="1:5">
      <c r="A201" s="168">
        <v>3366</v>
      </c>
      <c r="B201" s="2">
        <v>141830</v>
      </c>
      <c r="C201" s="2" t="s">
        <v>400</v>
      </c>
      <c r="E201" s="2"/>
    </row>
    <row r="202" spans="1:5">
      <c r="A202" s="168">
        <v>3385</v>
      </c>
      <c r="B202" s="2">
        <v>150849</v>
      </c>
      <c r="C202" s="2" t="s">
        <v>152</v>
      </c>
      <c r="E202" s="2"/>
    </row>
    <row r="203" spans="1:5">
      <c r="A203" s="168">
        <v>4616</v>
      </c>
      <c r="B203" s="2">
        <v>141835</v>
      </c>
      <c r="C203" s="2" t="s">
        <v>401</v>
      </c>
      <c r="E203" s="2"/>
    </row>
    <row r="204" spans="1:5">
      <c r="A204" s="168">
        <v>3314</v>
      </c>
      <c r="B204" s="2">
        <v>142375</v>
      </c>
      <c r="C204" s="2" t="s">
        <v>402</v>
      </c>
      <c r="E204" s="2"/>
    </row>
    <row r="205" spans="1:5">
      <c r="A205" s="168">
        <v>2201</v>
      </c>
      <c r="B205" s="2">
        <v>147017</v>
      </c>
      <c r="C205" s="2" t="s">
        <v>403</v>
      </c>
      <c r="E205" s="2"/>
    </row>
    <row r="206" spans="1:5">
      <c r="A206" s="168">
        <v>3359</v>
      </c>
      <c r="B206" s="2">
        <v>148083</v>
      </c>
      <c r="C206" s="2" t="s">
        <v>404</v>
      </c>
      <c r="E206" s="2"/>
    </row>
    <row r="207" spans="1:5">
      <c r="A207" s="2">
        <v>4045</v>
      </c>
      <c r="B207" s="2">
        <v>149155</v>
      </c>
      <c r="C207" s="2" t="s">
        <v>405</v>
      </c>
      <c r="E207" s="2"/>
    </row>
    <row r="208" spans="1:5">
      <c r="A208" s="2">
        <v>4038</v>
      </c>
      <c r="B208" s="2">
        <v>147757</v>
      </c>
      <c r="C208" s="2" t="s">
        <v>406</v>
      </c>
      <c r="E208" s="2"/>
    </row>
    <row r="209" spans="1:5">
      <c r="A209" s="2">
        <v>2188</v>
      </c>
      <c r="B209" s="2">
        <v>143433</v>
      </c>
      <c r="C209" s="2" t="s">
        <v>407</v>
      </c>
      <c r="E209" s="2"/>
    </row>
    <row r="210" spans="1:5">
      <c r="A210" s="2">
        <v>4206</v>
      </c>
      <c r="B210" s="2">
        <v>138137</v>
      </c>
      <c r="C210" s="2" t="s">
        <v>408</v>
      </c>
      <c r="E210" s="2"/>
    </row>
    <row r="211" spans="1:5">
      <c r="A211" s="2">
        <v>2097</v>
      </c>
      <c r="B211" s="2">
        <v>150876</v>
      </c>
      <c r="C211" s="2" t="s">
        <v>153</v>
      </c>
      <c r="E211" s="2"/>
    </row>
    <row r="212" spans="1:5">
      <c r="A212" s="2">
        <v>2214</v>
      </c>
      <c r="B212" s="2">
        <v>150708</v>
      </c>
      <c r="C212" s="2" t="s">
        <v>409</v>
      </c>
      <c r="E212" s="2"/>
    </row>
    <row r="213" spans="1:5">
      <c r="A213" s="2">
        <v>4300</v>
      </c>
      <c r="B213" s="2">
        <v>136778</v>
      </c>
      <c r="C213" s="2" t="s">
        <v>410</v>
      </c>
      <c r="E213" s="2"/>
    </row>
    <row r="214" spans="1:5">
      <c r="A214" s="2">
        <v>2204</v>
      </c>
      <c r="B214" s="2">
        <v>147111</v>
      </c>
      <c r="C214" s="2" t="s">
        <v>411</v>
      </c>
      <c r="E214" s="2"/>
    </row>
    <row r="215" spans="1:5">
      <c r="A215" s="2">
        <v>4237</v>
      </c>
      <c r="B215" s="2">
        <v>151403</v>
      </c>
      <c r="C215" s="2" t="s">
        <v>148</v>
      </c>
      <c r="E215" s="2"/>
    </row>
    <row r="216" spans="1:5">
      <c r="A216" s="2">
        <v>2098</v>
      </c>
      <c r="B216" s="2">
        <v>139011</v>
      </c>
      <c r="C216" s="2" t="s">
        <v>412</v>
      </c>
      <c r="E216" s="2"/>
    </row>
    <row r="217" spans="1:5">
      <c r="A217" s="2">
        <v>4307</v>
      </c>
      <c r="B217" s="2">
        <v>138136</v>
      </c>
      <c r="C217" s="2" t="s">
        <v>413</v>
      </c>
      <c r="E217" s="2"/>
    </row>
    <row r="218" spans="1:5">
      <c r="A218" s="2">
        <v>7049</v>
      </c>
      <c r="B218" s="2">
        <v>144043</v>
      </c>
      <c r="C218" s="2" t="s">
        <v>414</v>
      </c>
      <c r="E218" s="2"/>
    </row>
    <row r="219" spans="1:5">
      <c r="A219" s="2">
        <v>5201</v>
      </c>
      <c r="B219" s="2">
        <v>137155</v>
      </c>
      <c r="C219" s="2" t="s">
        <v>415</v>
      </c>
      <c r="E219" s="2"/>
    </row>
    <row r="220" spans="1:5">
      <c r="A220" s="2">
        <v>1111</v>
      </c>
      <c r="B220" s="2">
        <v>142071</v>
      </c>
      <c r="C220" s="2" t="s">
        <v>416</v>
      </c>
      <c r="E220" s="2"/>
    </row>
    <row r="221" spans="1:5">
      <c r="A221" s="2">
        <v>2246</v>
      </c>
      <c r="B221" s="2">
        <v>151709</v>
      </c>
      <c r="C221" s="2" t="s">
        <v>22</v>
      </c>
      <c r="E221" s="2"/>
    </row>
    <row r="222" spans="1:5">
      <c r="A222" s="2">
        <v>2064</v>
      </c>
      <c r="B222" s="2">
        <v>139183</v>
      </c>
      <c r="C222" s="2" t="s">
        <v>417</v>
      </c>
      <c r="E222" s="2"/>
    </row>
    <row r="223" spans="1:5">
      <c r="A223" s="2">
        <v>2018</v>
      </c>
      <c r="B223" s="2">
        <v>149872</v>
      </c>
      <c r="C223" s="2" t="s">
        <v>418</v>
      </c>
      <c r="E223" s="2"/>
    </row>
    <row r="224" spans="1:5">
      <c r="A224" s="2">
        <v>2167</v>
      </c>
      <c r="B224" s="2">
        <v>142888</v>
      </c>
      <c r="C224" s="2" t="s">
        <v>419</v>
      </c>
      <c r="E224" s="2"/>
    </row>
    <row r="225" spans="1:5">
      <c r="A225" s="2">
        <v>2205</v>
      </c>
      <c r="B225" s="2">
        <v>147452</v>
      </c>
      <c r="C225" s="2" t="s">
        <v>420</v>
      </c>
      <c r="E225" s="2"/>
    </row>
    <row r="226" spans="1:5">
      <c r="A226" s="2">
        <v>2249</v>
      </c>
      <c r="B226" s="2">
        <v>139860</v>
      </c>
      <c r="C226" s="2" t="s">
        <v>421</v>
      </c>
      <c r="E226" s="2"/>
    </row>
    <row r="227" spans="1:5">
      <c r="A227" s="2">
        <v>2447</v>
      </c>
      <c r="B227" s="2">
        <v>143087</v>
      </c>
      <c r="C227" s="2" t="s">
        <v>422</v>
      </c>
      <c r="E227" s="2"/>
    </row>
    <row r="228" spans="1:5">
      <c r="A228" s="2">
        <v>3325</v>
      </c>
      <c r="B228" s="2">
        <v>148439</v>
      </c>
      <c r="C228" s="2" t="s">
        <v>423</v>
      </c>
      <c r="E228" s="2"/>
    </row>
    <row r="229" spans="1:5">
      <c r="A229" s="2">
        <v>4027</v>
      </c>
      <c r="B229" s="2">
        <v>144721</v>
      </c>
      <c r="C229" s="2" t="s">
        <v>424</v>
      </c>
      <c r="E229" s="2"/>
    </row>
    <row r="230" spans="1:5">
      <c r="A230" s="2">
        <v>2058</v>
      </c>
      <c r="B230" s="2">
        <v>138425</v>
      </c>
      <c r="C230" s="2" t="s">
        <v>425</v>
      </c>
      <c r="E230" s="2"/>
    </row>
    <row r="231" spans="1:5">
      <c r="A231" s="2">
        <v>4014</v>
      </c>
      <c r="B231" s="2">
        <v>140863</v>
      </c>
      <c r="C231" s="2" t="s">
        <v>426</v>
      </c>
      <c r="E231" s="2"/>
    </row>
    <row r="232" spans="1:5">
      <c r="A232" s="2">
        <v>4024</v>
      </c>
      <c r="B232" s="2">
        <v>144306</v>
      </c>
      <c r="C232" s="2" t="s">
        <v>427</v>
      </c>
      <c r="E232" s="2"/>
    </row>
    <row r="233" spans="1:5">
      <c r="A233" s="2">
        <v>2195</v>
      </c>
      <c r="B233" s="2">
        <v>138104</v>
      </c>
      <c r="C233" s="2" t="s">
        <v>428</v>
      </c>
      <c r="E233" s="2"/>
    </row>
    <row r="234" spans="1:5">
      <c r="A234" s="2">
        <v>1112</v>
      </c>
      <c r="B234" s="2">
        <v>146731</v>
      </c>
      <c r="C234" s="2" t="s">
        <v>429</v>
      </c>
      <c r="E234" s="2"/>
    </row>
    <row r="235" spans="1:5">
      <c r="A235" s="2">
        <v>1108</v>
      </c>
      <c r="B235" s="2">
        <v>139731</v>
      </c>
      <c r="C235" s="2" t="s">
        <v>430</v>
      </c>
      <c r="E235" s="2"/>
    </row>
    <row r="236" spans="1:5">
      <c r="A236" s="2">
        <v>2126</v>
      </c>
      <c r="B236" s="2">
        <v>139439</v>
      </c>
      <c r="C236" s="2" t="s">
        <v>431</v>
      </c>
      <c r="E236" s="2"/>
    </row>
    <row r="237" spans="1:5">
      <c r="A237" s="2">
        <v>2273</v>
      </c>
      <c r="B237" s="2">
        <v>143091</v>
      </c>
      <c r="C237" s="2" t="s">
        <v>432</v>
      </c>
      <c r="E237" s="2"/>
    </row>
    <row r="238" spans="1:5">
      <c r="A238" s="2">
        <v>2145</v>
      </c>
      <c r="B238" s="2">
        <v>141206</v>
      </c>
      <c r="C238" s="2" t="s">
        <v>433</v>
      </c>
      <c r="E238" s="2"/>
    </row>
    <row r="239" spans="1:5">
      <c r="A239" s="2">
        <v>4040</v>
      </c>
      <c r="B239" s="2">
        <v>148521</v>
      </c>
      <c r="C239" s="2" t="s">
        <v>434</v>
      </c>
      <c r="E239" s="2"/>
    </row>
    <row r="240" spans="1:5">
      <c r="A240" s="2">
        <v>2175</v>
      </c>
      <c r="B240" s="2">
        <v>144390</v>
      </c>
      <c r="C240" s="2" t="s">
        <v>435</v>
      </c>
      <c r="E240" s="2"/>
    </row>
    <row r="241" spans="1:5">
      <c r="A241" s="2">
        <v>2449</v>
      </c>
      <c r="B241" s="2">
        <v>140518</v>
      </c>
      <c r="C241" s="2" t="s">
        <v>436</v>
      </c>
      <c r="E241" s="2"/>
    </row>
    <row r="242" spans="1:5">
      <c r="A242" s="2">
        <v>2068</v>
      </c>
      <c r="B242" s="2">
        <v>138303</v>
      </c>
      <c r="C242" s="2" t="s">
        <v>437</v>
      </c>
      <c r="E242" s="2"/>
    </row>
    <row r="243" spans="1:5">
      <c r="A243" s="2">
        <v>4084</v>
      </c>
      <c r="B243" s="2">
        <v>139888</v>
      </c>
      <c r="C243" s="2" t="s">
        <v>438</v>
      </c>
      <c r="E243" s="2"/>
    </row>
    <row r="244" spans="1:5">
      <c r="A244" s="2">
        <v>4009</v>
      </c>
      <c r="B244" s="2">
        <v>142219</v>
      </c>
      <c r="C244" s="2" t="s">
        <v>439</v>
      </c>
      <c r="E244" s="2"/>
    </row>
    <row r="245" spans="1:5">
      <c r="A245" s="2">
        <v>4010</v>
      </c>
      <c r="B245" s="2">
        <v>139788</v>
      </c>
      <c r="C245" s="2" t="s">
        <v>440</v>
      </c>
      <c r="E245" s="2"/>
    </row>
    <row r="246" spans="1:5">
      <c r="A246" s="2">
        <v>2471</v>
      </c>
      <c r="B246" s="2">
        <v>143943</v>
      </c>
      <c r="C246" s="2" t="s">
        <v>441</v>
      </c>
      <c r="E246" s="2"/>
    </row>
    <row r="247" spans="1:5">
      <c r="A247" s="2">
        <v>7031</v>
      </c>
      <c r="B247" s="2">
        <v>138281</v>
      </c>
      <c r="C247" s="2" t="s">
        <v>442</v>
      </c>
      <c r="E247" s="2"/>
    </row>
    <row r="248" spans="1:5">
      <c r="A248" s="2">
        <v>2136</v>
      </c>
      <c r="B248" s="2">
        <v>139637</v>
      </c>
      <c r="C248" s="2" t="s">
        <v>443</v>
      </c>
      <c r="E248" s="2"/>
    </row>
    <row r="249" spans="1:5">
      <c r="A249" s="2">
        <v>2480</v>
      </c>
      <c r="B249" s="2">
        <v>142386</v>
      </c>
      <c r="C249" s="2" t="s">
        <v>444</v>
      </c>
      <c r="E249" s="2"/>
    </row>
    <row r="250" spans="1:5">
      <c r="A250" s="2">
        <v>2146</v>
      </c>
      <c r="B250" s="2">
        <v>141319</v>
      </c>
      <c r="C250" s="2" t="s">
        <v>445</v>
      </c>
      <c r="E250" s="2"/>
    </row>
    <row r="251" spans="1:5">
      <c r="A251" s="2">
        <v>4246</v>
      </c>
      <c r="B251" s="2">
        <v>139994</v>
      </c>
      <c r="C251" s="2" t="s">
        <v>446</v>
      </c>
      <c r="E251" s="2"/>
    </row>
    <row r="252" spans="1:5">
      <c r="A252" s="2">
        <v>2122</v>
      </c>
      <c r="B252" s="2">
        <v>139378</v>
      </c>
      <c r="C252" s="2" t="s">
        <v>447</v>
      </c>
      <c r="E252" s="2"/>
    </row>
    <row r="253" spans="1:5">
      <c r="A253" s="2">
        <v>2485</v>
      </c>
      <c r="B253" s="2">
        <v>146722</v>
      </c>
      <c r="C253" s="2" t="s">
        <v>448</v>
      </c>
      <c r="E253" s="2"/>
    </row>
    <row r="254" spans="1:5">
      <c r="A254" s="2">
        <v>2180</v>
      </c>
      <c r="B254" s="2">
        <v>142858</v>
      </c>
      <c r="C254" s="2" t="s">
        <v>449</v>
      </c>
      <c r="E254" s="2"/>
    </row>
    <row r="255" spans="1:5">
      <c r="A255" s="2">
        <v>3323</v>
      </c>
      <c r="B255" s="2">
        <v>103427</v>
      </c>
      <c r="C255" s="2" t="s">
        <v>13</v>
      </c>
      <c r="E255" s="2"/>
    </row>
    <row r="256" spans="1:5">
      <c r="A256" s="2">
        <v>2314</v>
      </c>
      <c r="B256" s="2">
        <v>103334</v>
      </c>
      <c r="C256" s="2" t="s">
        <v>14</v>
      </c>
      <c r="E256" s="2"/>
    </row>
    <row r="257" spans="1:5">
      <c r="A257" s="2">
        <v>3380</v>
      </c>
      <c r="B257" s="2">
        <v>103465</v>
      </c>
      <c r="C257" s="2" t="s">
        <v>15</v>
      </c>
      <c r="E257" s="2"/>
    </row>
    <row r="258" spans="1:5">
      <c r="A258" s="2">
        <v>3431</v>
      </c>
      <c r="B258" s="2">
        <v>134774</v>
      </c>
      <c r="C258" s="2" t="s">
        <v>16</v>
      </c>
      <c r="E258" s="2"/>
    </row>
    <row r="259" spans="1:5">
      <c r="A259" s="2">
        <v>3329</v>
      </c>
      <c r="B259" s="2">
        <v>103431</v>
      </c>
      <c r="C259" s="2" t="s">
        <v>17</v>
      </c>
      <c r="E259" s="2"/>
    </row>
    <row r="260" spans="1:5">
      <c r="A260" s="2">
        <v>3406</v>
      </c>
      <c r="B260" s="2">
        <v>103476</v>
      </c>
      <c r="C260" s="2" t="s">
        <v>18</v>
      </c>
      <c r="E260" s="2"/>
    </row>
    <row r="261" spans="1:5">
      <c r="A261" s="2">
        <v>3342</v>
      </c>
      <c r="B261" s="2">
        <v>103437</v>
      </c>
      <c r="C261" s="2" t="s">
        <v>19</v>
      </c>
      <c r="E261" s="2"/>
    </row>
    <row r="262" spans="1:5">
      <c r="A262" s="2">
        <v>3365</v>
      </c>
      <c r="B262" s="2">
        <v>103456</v>
      </c>
      <c r="C262" s="2" t="s">
        <v>20</v>
      </c>
      <c r="E262" s="2"/>
    </row>
    <row r="263" spans="1:5">
      <c r="A263" s="2">
        <v>3310</v>
      </c>
      <c r="B263" s="2">
        <v>103417</v>
      </c>
      <c r="C263" s="2" t="s">
        <v>21</v>
      </c>
      <c r="E263" s="2"/>
    </row>
  </sheetData>
  <sheetProtection algorithmName="SHA-512" hashValue="ZhEG8COfijijLqIB2OgR5jYDcwXkQGk4CRuRB918wfZPIovVXJUZn3ygw0rQAh+hXIfly35N3N3eEEKXaMfYoA==" saltValue="Y47RVGnKE8m4vf1K6fU3mA==" spinCount="100000" sheet="1" objects="1" scenarios="1"/>
  <autoFilter ref="A6:P263" xr:uid="{7CE87091-4481-426B-8794-F14727353404}"/>
  <conditionalFormatting sqref="E6 A6:C7">
    <cfRule type="cellIs" dxfId="1" priority="1" operator="lessThan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BADC-163A-4CDE-AAE2-A1EE7C263F73}">
  <sheetPr codeName="Sheet10">
    <tabColor theme="6" tint="0.59999389629810485"/>
  </sheetPr>
  <dimension ref="A1:AJ256"/>
  <sheetViews>
    <sheetView zoomScale="80" zoomScaleNormal="80" workbookViewId="0">
      <pane xSplit="2" ySplit="7" topLeftCell="H8" activePane="bottomRight" state="frozen"/>
      <selection pane="topRight" activeCell="D1" sqref="D1"/>
      <selection pane="bottomLeft" activeCell="A8" sqref="A8"/>
      <selection pane="bottomRight" activeCell="AC10" sqref="AC10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4" max="4" width="14.26953125" bestFit="1" customWidth="1"/>
    <col min="5" max="8" width="17.26953125" customWidth="1"/>
    <col min="9" max="9" width="3.453125" style="219" bestFit="1" customWidth="1"/>
    <col min="10" max="10" width="18.1796875" bestFit="1" customWidth="1"/>
    <col min="11" max="11" width="12.453125" bestFit="1" customWidth="1"/>
    <col min="12" max="12" width="9.453125" customWidth="1"/>
    <col min="14" max="14" width="3.453125" style="219" customWidth="1"/>
    <col min="15" max="15" width="13.81640625" bestFit="1" customWidth="1"/>
    <col min="16" max="16" width="14.26953125" bestFit="1" customWidth="1"/>
    <col min="17" max="17" width="13.54296875" customWidth="1"/>
    <col min="18" max="18" width="13.81640625" bestFit="1" customWidth="1"/>
    <col min="19" max="19" width="3.453125" style="219" bestFit="1" customWidth="1"/>
    <col min="21" max="21" width="15.7265625" bestFit="1" customWidth="1"/>
    <col min="22" max="22" width="12.26953125" customWidth="1"/>
    <col min="23" max="23" width="12.1796875" customWidth="1"/>
    <col min="24" max="25" width="10.81640625" bestFit="1" customWidth="1"/>
    <col min="26" max="26" width="9.81640625" bestFit="1" customWidth="1"/>
    <col min="27" max="27" width="10.26953125" bestFit="1" customWidth="1"/>
    <col min="28" max="28" width="13" bestFit="1" customWidth="1"/>
    <col min="29" max="29" width="11.453125" bestFit="1" customWidth="1"/>
    <col min="31" max="32" width="14.26953125" bestFit="1" customWidth="1"/>
  </cols>
  <sheetData>
    <row r="1" spans="1:36">
      <c r="A1" s="1" t="s">
        <v>459</v>
      </c>
      <c r="B1" s="1"/>
    </row>
    <row r="2" spans="1:3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</row>
    <row r="3" spans="1:36">
      <c r="C3" s="46"/>
      <c r="D3" s="46" t="s">
        <v>145</v>
      </c>
      <c r="E3" t="s">
        <v>4</v>
      </c>
      <c r="F3" t="s">
        <v>7</v>
      </c>
      <c r="G3" t="s">
        <v>7</v>
      </c>
      <c r="J3" t="s">
        <v>7</v>
      </c>
      <c r="K3" t="s">
        <v>7</v>
      </c>
      <c r="L3" t="s">
        <v>7</v>
      </c>
      <c r="O3" t="s">
        <v>4</v>
      </c>
      <c r="P3" t="s">
        <v>7</v>
      </c>
      <c r="Q3" t="s">
        <v>4</v>
      </c>
      <c r="U3" t="s">
        <v>7</v>
      </c>
      <c r="V3" t="s">
        <v>7</v>
      </c>
      <c r="W3" t="s">
        <v>4</v>
      </c>
      <c r="X3" t="s">
        <v>4</v>
      </c>
      <c r="Y3" t="s">
        <v>7</v>
      </c>
      <c r="Z3" t="s">
        <v>7</v>
      </c>
      <c r="AA3" t="s">
        <v>4</v>
      </c>
      <c r="AB3" t="s">
        <v>7</v>
      </c>
      <c r="AC3" t="s">
        <v>7</v>
      </c>
    </row>
    <row r="4" spans="1:36">
      <c r="C4" s="46"/>
      <c r="D4" s="46" t="s">
        <v>146</v>
      </c>
      <c r="E4" s="259"/>
      <c r="F4" s="259"/>
      <c r="G4" s="259"/>
      <c r="H4" s="259"/>
      <c r="I4" s="230"/>
    </row>
    <row r="5" spans="1:36">
      <c r="C5" s="46"/>
      <c r="D5" s="46"/>
    </row>
    <row r="6" spans="1:36" ht="58.5" thickBot="1">
      <c r="E6" s="300" t="s">
        <v>0</v>
      </c>
      <c r="F6" s="300"/>
      <c r="G6" s="300"/>
      <c r="H6" s="300"/>
      <c r="I6" s="260"/>
      <c r="J6" s="300" t="s">
        <v>0</v>
      </c>
      <c r="K6" s="300"/>
      <c r="L6" s="300"/>
      <c r="M6" s="300"/>
      <c r="O6" s="301" t="s">
        <v>147</v>
      </c>
      <c r="P6" s="301"/>
      <c r="Q6" s="301"/>
      <c r="R6" s="301"/>
      <c r="U6" s="277" t="s">
        <v>464</v>
      </c>
      <c r="V6" s="277" t="s">
        <v>479</v>
      </c>
      <c r="W6" s="290" t="s">
        <v>482</v>
      </c>
      <c r="X6" s="290" t="s">
        <v>482</v>
      </c>
      <c r="Y6" s="290" t="s">
        <v>482</v>
      </c>
      <c r="Z6" s="290" t="s">
        <v>482</v>
      </c>
      <c r="AA6" s="290" t="s">
        <v>489</v>
      </c>
      <c r="AB6" s="290" t="s">
        <v>489</v>
      </c>
      <c r="AC6" s="277" t="s">
        <v>491</v>
      </c>
    </row>
    <row r="7" spans="1:36" ht="58.5" thickBot="1">
      <c r="A7" s="151" t="s">
        <v>1</v>
      </c>
      <c r="B7" s="152" t="s">
        <v>2</v>
      </c>
      <c r="C7" s="154" t="s">
        <v>3</v>
      </c>
      <c r="D7" s="169"/>
      <c r="E7" s="261" t="s">
        <v>193</v>
      </c>
      <c r="F7" s="261" t="s">
        <v>194</v>
      </c>
      <c r="G7" s="261" t="s">
        <v>195</v>
      </c>
      <c r="H7" s="261" t="s">
        <v>196</v>
      </c>
      <c r="I7" s="220"/>
      <c r="J7" s="261" t="s">
        <v>206</v>
      </c>
      <c r="K7" s="261" t="s">
        <v>207</v>
      </c>
      <c r="L7" s="261" t="s">
        <v>208</v>
      </c>
      <c r="M7" s="261" t="s">
        <v>209</v>
      </c>
      <c r="N7" s="220"/>
      <c r="O7" s="262" t="s">
        <v>197</v>
      </c>
      <c r="P7" s="262" t="s">
        <v>198</v>
      </c>
      <c r="Q7" s="262" t="s">
        <v>454</v>
      </c>
      <c r="R7" s="262" t="s">
        <v>58</v>
      </c>
      <c r="U7" s="262" t="s">
        <v>198</v>
      </c>
      <c r="V7" s="262" t="s">
        <v>480</v>
      </c>
      <c r="W7" s="290" t="s">
        <v>481</v>
      </c>
      <c r="X7" s="290" t="s">
        <v>485</v>
      </c>
      <c r="Y7" s="290" t="s">
        <v>486</v>
      </c>
      <c r="Z7" s="290" t="s">
        <v>487</v>
      </c>
      <c r="AA7" s="292" t="s">
        <v>488</v>
      </c>
      <c r="AB7" s="292" t="s">
        <v>490</v>
      </c>
      <c r="AC7" s="262" t="s">
        <v>198</v>
      </c>
      <c r="AE7" t="s">
        <v>4</v>
      </c>
      <c r="AF7" t="s">
        <v>7</v>
      </c>
    </row>
    <row r="8" spans="1:36">
      <c r="A8" s="167">
        <v>3318</v>
      </c>
      <c r="B8" s="159">
        <v>147669</v>
      </c>
      <c r="C8" s="159" t="s">
        <v>212</v>
      </c>
      <c r="D8" s="160"/>
      <c r="E8" s="174">
        <v>0</v>
      </c>
      <c r="F8" s="174">
        <v>0</v>
      </c>
      <c r="G8" s="174">
        <v>0</v>
      </c>
      <c r="H8" s="174">
        <f>E8+F8+G8</f>
        <v>0</v>
      </c>
      <c r="I8" s="226"/>
      <c r="J8" s="174">
        <v>0</v>
      </c>
      <c r="K8" s="174">
        <v>0</v>
      </c>
      <c r="L8" s="174">
        <v>0</v>
      </c>
      <c r="M8" s="174"/>
      <c r="N8" s="221"/>
      <c r="O8" s="198"/>
      <c r="P8" s="198">
        <v>0</v>
      </c>
      <c r="Q8" s="198">
        <v>0</v>
      </c>
      <c r="R8" s="199">
        <f>O8+P8+Q8</f>
        <v>0</v>
      </c>
      <c r="U8" s="199"/>
      <c r="V8" s="291">
        <v>0</v>
      </c>
      <c r="W8" s="291"/>
      <c r="X8" s="291"/>
      <c r="Y8" s="291"/>
      <c r="Z8" s="291"/>
      <c r="AA8" s="291">
        <v>0</v>
      </c>
      <c r="AB8" s="291">
        <v>0</v>
      </c>
      <c r="AC8" s="291">
        <v>0</v>
      </c>
      <c r="AE8" s="176">
        <f>SUMIFS($E8:$H8,$E$3:$H$3,AE$7)+SUMIFS($O8:$R8,$O$3:$R$3,AE$7)+SUMIFS($J8:$M8,$J$3:$M$3,AE$7)+SUMIFS($U8:$AC8,$U$3:$AC$3,AE$7)</f>
        <v>0</v>
      </c>
      <c r="AF8" s="176">
        <f>SUMIFS($E8:$H8,$E$3:$H$3,AF$7)+SUMIFS($O8:$R8,$O$3:$R$3,AF$7)+SUMIFS($J8:$M8,$J$3:$M$3,AF$7)+SUMIFS($U8:$AC8,$U$3:$AC$3,AF$7)</f>
        <v>0</v>
      </c>
    </row>
    <row r="9" spans="1:36">
      <c r="A9" s="168">
        <v>2020</v>
      </c>
      <c r="B9" s="2">
        <v>139443</v>
      </c>
      <c r="C9" s="2" t="s">
        <v>213</v>
      </c>
      <c r="D9" s="30"/>
      <c r="E9" s="174">
        <v>0</v>
      </c>
      <c r="F9" s="174">
        <v>0</v>
      </c>
      <c r="G9" s="174">
        <v>0</v>
      </c>
      <c r="H9" s="174">
        <f t="shared" ref="H9:H72" si="0">E9+F9+G9</f>
        <v>0</v>
      </c>
      <c r="I9" s="226"/>
      <c r="J9" s="174">
        <v>0</v>
      </c>
      <c r="K9" s="174">
        <v>0</v>
      </c>
      <c r="L9" s="174">
        <v>0</v>
      </c>
      <c r="M9" s="174"/>
      <c r="N9" s="221"/>
      <c r="O9" s="198"/>
      <c r="P9" s="198">
        <v>0</v>
      </c>
      <c r="Q9" s="198">
        <v>0</v>
      </c>
      <c r="R9" s="199">
        <f t="shared" ref="R9:R72" si="1">O9+P9+Q9</f>
        <v>0</v>
      </c>
      <c r="U9" s="199"/>
      <c r="V9" s="199">
        <v>0</v>
      </c>
      <c r="W9" s="291"/>
      <c r="X9" s="291"/>
      <c r="Y9" s="291"/>
      <c r="Z9" s="291"/>
      <c r="AA9" s="291">
        <v>0</v>
      </c>
      <c r="AB9" s="291">
        <v>0</v>
      </c>
      <c r="AC9" s="291">
        <v>0</v>
      </c>
      <c r="AE9" s="176">
        <f t="shared" ref="AE9:AF72" si="2">SUMIFS($E9:$H9,$E$3:$H$3,AE$7)+SUMIFS($O9:$R9,$O$3:$R$3,AE$7)+SUMIFS($J9:$M9,$J$3:$M$3,AE$7)+SUMIFS($U9:$AC9,$U$3:$AC$3,AE$7)</f>
        <v>0</v>
      </c>
      <c r="AF9" s="176">
        <f t="shared" si="2"/>
        <v>0</v>
      </c>
    </row>
    <row r="10" spans="1:36">
      <c r="A10" s="168">
        <v>3433</v>
      </c>
      <c r="B10" s="2">
        <v>140889</v>
      </c>
      <c r="C10" s="2" t="s">
        <v>214</v>
      </c>
      <c r="D10" s="30"/>
      <c r="E10" s="174">
        <v>0</v>
      </c>
      <c r="F10" s="174">
        <v>0</v>
      </c>
      <c r="G10" s="174">
        <v>0</v>
      </c>
      <c r="H10" s="174">
        <f t="shared" si="0"/>
        <v>0</v>
      </c>
      <c r="I10" s="226"/>
      <c r="J10" s="174">
        <v>0</v>
      </c>
      <c r="K10" s="174">
        <v>0</v>
      </c>
      <c r="L10" s="174">
        <v>0</v>
      </c>
      <c r="M10" s="174"/>
      <c r="N10" s="221"/>
      <c r="O10" s="198"/>
      <c r="P10" s="198">
        <v>0</v>
      </c>
      <c r="Q10" s="198">
        <v>0</v>
      </c>
      <c r="R10" s="199">
        <f t="shared" si="1"/>
        <v>0</v>
      </c>
      <c r="U10" s="199"/>
      <c r="V10" s="199">
        <v>11593.41</v>
      </c>
      <c r="W10" s="291"/>
      <c r="X10" s="291"/>
      <c r="Y10" s="291"/>
      <c r="Z10" s="291"/>
      <c r="AA10" s="291">
        <v>0</v>
      </c>
      <c r="AB10" s="291">
        <v>0</v>
      </c>
      <c r="AC10" s="291">
        <v>153535.33743589744</v>
      </c>
      <c r="AE10" s="176">
        <f t="shared" si="2"/>
        <v>0</v>
      </c>
      <c r="AF10" s="176">
        <f t="shared" si="2"/>
        <v>165128.74743589744</v>
      </c>
    </row>
    <row r="11" spans="1:36">
      <c r="A11" s="168">
        <v>2144</v>
      </c>
      <c r="B11" s="2">
        <v>140656</v>
      </c>
      <c r="C11" s="2" t="s">
        <v>215</v>
      </c>
      <c r="D11" s="30"/>
      <c r="E11" s="174">
        <v>0</v>
      </c>
      <c r="F11" s="174">
        <v>0</v>
      </c>
      <c r="G11" s="174">
        <v>0</v>
      </c>
      <c r="H11" s="174">
        <f t="shared" si="0"/>
        <v>0</v>
      </c>
      <c r="I11" s="226"/>
      <c r="J11" s="174">
        <v>0</v>
      </c>
      <c r="K11" s="174">
        <v>0</v>
      </c>
      <c r="L11" s="174">
        <v>0</v>
      </c>
      <c r="M11" s="174"/>
      <c r="N11" s="221"/>
      <c r="O11" s="198"/>
      <c r="P11" s="198">
        <v>0</v>
      </c>
      <c r="Q11" s="198">
        <v>0</v>
      </c>
      <c r="R11" s="199">
        <f t="shared" si="1"/>
        <v>0</v>
      </c>
      <c r="U11" s="199"/>
      <c r="V11" s="199">
        <v>23186.81</v>
      </c>
      <c r="W11" s="291"/>
      <c r="X11" s="291"/>
      <c r="Y11" s="291"/>
      <c r="Z11" s="291"/>
      <c r="AA11" s="291">
        <v>0</v>
      </c>
      <c r="AB11" s="291">
        <v>0</v>
      </c>
      <c r="AC11" s="291">
        <v>56762.997692307705</v>
      </c>
      <c r="AE11" s="176">
        <f t="shared" si="2"/>
        <v>0</v>
      </c>
      <c r="AF11" s="176">
        <f t="shared" si="2"/>
        <v>79949.807692307702</v>
      </c>
    </row>
    <row r="12" spans="1:36">
      <c r="A12" s="168">
        <v>4804</v>
      </c>
      <c r="B12" s="2">
        <v>146124</v>
      </c>
      <c r="C12" s="2" t="s">
        <v>216</v>
      </c>
      <c r="D12" s="30"/>
      <c r="E12" s="174">
        <v>0</v>
      </c>
      <c r="F12" s="174">
        <v>0</v>
      </c>
      <c r="G12" s="174">
        <v>0</v>
      </c>
      <c r="H12" s="174">
        <f t="shared" si="0"/>
        <v>0</v>
      </c>
      <c r="I12" s="226"/>
      <c r="J12" s="174">
        <v>0</v>
      </c>
      <c r="K12" s="174">
        <v>0</v>
      </c>
      <c r="L12" s="174">
        <v>0</v>
      </c>
      <c r="M12" s="174"/>
      <c r="N12" s="221"/>
      <c r="O12" s="198"/>
      <c r="P12" s="198">
        <v>0</v>
      </c>
      <c r="Q12" s="198">
        <v>0</v>
      </c>
      <c r="R12" s="199">
        <f t="shared" si="1"/>
        <v>0</v>
      </c>
      <c r="U12" s="199"/>
      <c r="V12" s="199">
        <v>0</v>
      </c>
      <c r="W12" s="291"/>
      <c r="X12" s="291"/>
      <c r="Y12" s="291"/>
      <c r="Z12" s="291"/>
      <c r="AA12" s="291">
        <v>0</v>
      </c>
      <c r="AB12" s="291">
        <v>0</v>
      </c>
      <c r="AC12" s="291">
        <v>0</v>
      </c>
      <c r="AE12" s="176">
        <f t="shared" si="2"/>
        <v>0</v>
      </c>
      <c r="AF12" s="176">
        <f t="shared" si="2"/>
        <v>0</v>
      </c>
    </row>
    <row r="13" spans="1:36">
      <c r="A13" s="168">
        <v>4031</v>
      </c>
      <c r="B13" s="2">
        <v>145580</v>
      </c>
      <c r="C13" s="2" t="s">
        <v>217</v>
      </c>
      <c r="D13" s="30"/>
      <c r="E13" s="174">
        <v>0</v>
      </c>
      <c r="F13" s="174">
        <v>0</v>
      </c>
      <c r="G13" s="174">
        <v>0</v>
      </c>
      <c r="H13" s="174">
        <f t="shared" si="0"/>
        <v>0</v>
      </c>
      <c r="I13" s="226"/>
      <c r="J13" s="174">
        <v>0</v>
      </c>
      <c r="K13" s="174">
        <v>0</v>
      </c>
      <c r="L13" s="174">
        <v>0</v>
      </c>
      <c r="M13" s="174"/>
      <c r="N13" s="221"/>
      <c r="O13" s="198"/>
      <c r="P13" s="198">
        <v>0</v>
      </c>
      <c r="Q13" s="198">
        <v>0</v>
      </c>
      <c r="R13" s="199">
        <f t="shared" si="1"/>
        <v>0</v>
      </c>
      <c r="U13" s="199"/>
      <c r="V13" s="199">
        <v>0</v>
      </c>
      <c r="W13" s="291"/>
      <c r="X13" s="291"/>
      <c r="Y13" s="291"/>
      <c r="Z13" s="291"/>
      <c r="AA13" s="291">
        <v>0</v>
      </c>
      <c r="AB13" s="291">
        <v>0</v>
      </c>
      <c r="AC13" s="291">
        <v>0</v>
      </c>
      <c r="AE13" s="176">
        <f t="shared" si="2"/>
        <v>0</v>
      </c>
      <c r="AF13" s="176">
        <f t="shared" si="2"/>
        <v>0</v>
      </c>
    </row>
    <row r="14" spans="1:36">
      <c r="A14" s="168">
        <v>4013</v>
      </c>
      <c r="B14" s="2">
        <v>140014</v>
      </c>
      <c r="C14" s="2" t="s">
        <v>218</v>
      </c>
      <c r="D14" s="30"/>
      <c r="E14" s="174">
        <v>0</v>
      </c>
      <c r="F14" s="174">
        <v>0</v>
      </c>
      <c r="G14" s="174">
        <v>0</v>
      </c>
      <c r="H14" s="174">
        <f t="shared" si="0"/>
        <v>0</v>
      </c>
      <c r="I14" s="226"/>
      <c r="J14" s="174">
        <v>0</v>
      </c>
      <c r="K14" s="174">
        <v>0</v>
      </c>
      <c r="L14" s="174">
        <v>0</v>
      </c>
      <c r="M14" s="174"/>
      <c r="N14" s="221"/>
      <c r="O14" s="198"/>
      <c r="P14" s="198">
        <v>0</v>
      </c>
      <c r="Q14" s="198">
        <v>0</v>
      </c>
      <c r="R14" s="199">
        <f t="shared" si="1"/>
        <v>0</v>
      </c>
      <c r="U14" s="199"/>
      <c r="V14" s="199">
        <v>0</v>
      </c>
      <c r="W14" s="291"/>
      <c r="X14" s="291"/>
      <c r="Y14" s="291"/>
      <c r="Z14" s="291"/>
      <c r="AA14" s="291">
        <v>0</v>
      </c>
      <c r="AB14" s="291">
        <v>0</v>
      </c>
      <c r="AC14" s="291">
        <v>0</v>
      </c>
      <c r="AE14" s="176">
        <f t="shared" si="2"/>
        <v>0</v>
      </c>
      <c r="AF14" s="176">
        <f t="shared" si="2"/>
        <v>0</v>
      </c>
    </row>
    <row r="15" spans="1:36">
      <c r="A15" s="168">
        <v>4001</v>
      </c>
      <c r="B15" s="2">
        <v>137578</v>
      </c>
      <c r="C15" s="2" t="s">
        <v>219</v>
      </c>
      <c r="D15" s="30"/>
      <c r="E15" s="174">
        <v>0</v>
      </c>
      <c r="F15" s="174">
        <v>0</v>
      </c>
      <c r="G15" s="174">
        <v>0</v>
      </c>
      <c r="H15" s="174">
        <f t="shared" si="0"/>
        <v>0</v>
      </c>
      <c r="I15" s="226"/>
      <c r="J15" s="174">
        <v>0</v>
      </c>
      <c r="K15" s="174">
        <v>0</v>
      </c>
      <c r="L15" s="174">
        <v>0</v>
      </c>
      <c r="M15" s="174"/>
      <c r="N15" s="221"/>
      <c r="O15" s="198"/>
      <c r="P15" s="198">
        <v>0</v>
      </c>
      <c r="Q15" s="198">
        <v>0</v>
      </c>
      <c r="R15" s="199">
        <f t="shared" si="1"/>
        <v>0</v>
      </c>
      <c r="U15" s="199"/>
      <c r="V15" s="199">
        <v>0</v>
      </c>
      <c r="W15" s="291"/>
      <c r="X15" s="291"/>
      <c r="Y15" s="291"/>
      <c r="Z15" s="291"/>
      <c r="AA15" s="291">
        <v>0</v>
      </c>
      <c r="AB15" s="291">
        <v>0</v>
      </c>
      <c r="AC15" s="291">
        <v>0</v>
      </c>
      <c r="AE15" s="176">
        <f t="shared" si="2"/>
        <v>0</v>
      </c>
      <c r="AF15" s="176">
        <f t="shared" si="2"/>
        <v>0</v>
      </c>
    </row>
    <row r="16" spans="1:36">
      <c r="A16" s="168">
        <v>6908</v>
      </c>
      <c r="B16" s="2">
        <v>135970</v>
      </c>
      <c r="C16" s="2" t="s">
        <v>220</v>
      </c>
      <c r="D16" s="30"/>
      <c r="E16" s="174">
        <v>0</v>
      </c>
      <c r="F16" s="174">
        <v>0</v>
      </c>
      <c r="G16" s="174">
        <v>0</v>
      </c>
      <c r="H16" s="174">
        <f t="shared" si="0"/>
        <v>0</v>
      </c>
      <c r="I16" s="226"/>
      <c r="J16" s="174">
        <v>0</v>
      </c>
      <c r="K16" s="174">
        <v>0</v>
      </c>
      <c r="L16" s="174">
        <v>0</v>
      </c>
      <c r="M16" s="174"/>
      <c r="N16" s="221"/>
      <c r="O16" s="198"/>
      <c r="P16" s="198">
        <v>0</v>
      </c>
      <c r="Q16" s="198">
        <v>0</v>
      </c>
      <c r="R16" s="199">
        <f t="shared" si="1"/>
        <v>0</v>
      </c>
      <c r="U16" s="199"/>
      <c r="V16" s="199">
        <v>0</v>
      </c>
      <c r="W16" s="291"/>
      <c r="X16" s="291"/>
      <c r="Y16" s="291"/>
      <c r="Z16" s="291"/>
      <c r="AA16" s="291">
        <v>0</v>
      </c>
      <c r="AB16" s="291">
        <v>0</v>
      </c>
      <c r="AC16" s="291">
        <v>0</v>
      </c>
      <c r="AE16" s="176">
        <f t="shared" si="2"/>
        <v>0</v>
      </c>
      <c r="AF16" s="176">
        <f t="shared" si="2"/>
        <v>0</v>
      </c>
    </row>
    <row r="17" spans="1:32">
      <c r="A17" s="168">
        <v>2056</v>
      </c>
      <c r="B17" s="2">
        <v>138397</v>
      </c>
      <c r="C17" s="2" t="s">
        <v>221</v>
      </c>
      <c r="D17" s="30"/>
      <c r="E17" s="174">
        <v>0</v>
      </c>
      <c r="F17" s="174">
        <v>0</v>
      </c>
      <c r="G17" s="174">
        <v>0</v>
      </c>
      <c r="H17" s="174">
        <f t="shared" si="0"/>
        <v>0</v>
      </c>
      <c r="I17" s="226"/>
      <c r="J17" s="174">
        <v>0</v>
      </c>
      <c r="K17" s="174">
        <v>0</v>
      </c>
      <c r="L17" s="174">
        <v>0</v>
      </c>
      <c r="M17" s="174"/>
      <c r="N17" s="221"/>
      <c r="O17" s="198"/>
      <c r="P17" s="198">
        <v>0</v>
      </c>
      <c r="Q17" s="198">
        <v>0</v>
      </c>
      <c r="R17" s="199">
        <f t="shared" si="1"/>
        <v>0</v>
      </c>
      <c r="U17" s="199"/>
      <c r="V17" s="199">
        <v>0</v>
      </c>
      <c r="W17" s="291"/>
      <c r="X17" s="291"/>
      <c r="Y17" s="291"/>
      <c r="Z17" s="291"/>
      <c r="AA17" s="291">
        <v>0</v>
      </c>
      <c r="AB17" s="291">
        <v>0</v>
      </c>
      <c r="AC17" s="291">
        <v>0</v>
      </c>
      <c r="AE17" s="176">
        <f t="shared" si="2"/>
        <v>0</v>
      </c>
      <c r="AF17" s="176">
        <f t="shared" si="2"/>
        <v>0</v>
      </c>
    </row>
    <row r="18" spans="1:32">
      <c r="A18" s="168">
        <v>4019</v>
      </c>
      <c r="B18" s="2">
        <v>141752</v>
      </c>
      <c r="C18" s="2" t="s">
        <v>222</v>
      </c>
      <c r="D18" s="30"/>
      <c r="E18" s="174">
        <v>0</v>
      </c>
      <c r="F18" s="174">
        <v>0</v>
      </c>
      <c r="G18" s="174">
        <v>0</v>
      </c>
      <c r="H18" s="174">
        <f t="shared" si="0"/>
        <v>0</v>
      </c>
      <c r="I18" s="226"/>
      <c r="J18" s="174">
        <v>0</v>
      </c>
      <c r="K18" s="174">
        <v>0</v>
      </c>
      <c r="L18" s="174">
        <v>0</v>
      </c>
      <c r="M18" s="174"/>
      <c r="N18" s="221"/>
      <c r="O18" s="198"/>
      <c r="P18" s="198">
        <v>0</v>
      </c>
      <c r="Q18" s="198">
        <v>0</v>
      </c>
      <c r="R18" s="199">
        <f t="shared" si="1"/>
        <v>0</v>
      </c>
      <c r="U18" s="199"/>
      <c r="V18" s="199">
        <v>0</v>
      </c>
      <c r="W18" s="291"/>
      <c r="X18" s="291"/>
      <c r="Y18" s="291"/>
      <c r="Z18" s="291"/>
      <c r="AA18" s="291">
        <v>0</v>
      </c>
      <c r="AB18" s="291">
        <v>0</v>
      </c>
      <c r="AC18" s="291">
        <v>0</v>
      </c>
      <c r="AE18" s="176">
        <f t="shared" si="2"/>
        <v>0</v>
      </c>
      <c r="AF18" s="176">
        <f t="shared" si="2"/>
        <v>0</v>
      </c>
    </row>
    <row r="19" spans="1:32">
      <c r="A19" s="168">
        <v>4220</v>
      </c>
      <c r="B19" s="2">
        <v>136882</v>
      </c>
      <c r="C19" s="2" t="s">
        <v>223</v>
      </c>
      <c r="D19" s="30"/>
      <c r="E19" s="174">
        <v>0</v>
      </c>
      <c r="F19" s="174">
        <v>0</v>
      </c>
      <c r="G19" s="174">
        <v>0</v>
      </c>
      <c r="H19" s="174">
        <f t="shared" si="0"/>
        <v>0</v>
      </c>
      <c r="I19" s="226"/>
      <c r="J19" s="174">
        <v>0</v>
      </c>
      <c r="K19" s="174">
        <v>0</v>
      </c>
      <c r="L19" s="174">
        <v>0</v>
      </c>
      <c r="M19" s="174"/>
      <c r="N19" s="221"/>
      <c r="O19" s="198"/>
      <c r="P19" s="198">
        <v>0</v>
      </c>
      <c r="Q19" s="198">
        <v>0</v>
      </c>
      <c r="R19" s="199">
        <f t="shared" si="1"/>
        <v>0</v>
      </c>
      <c r="U19" s="199"/>
      <c r="V19" s="199">
        <v>0</v>
      </c>
      <c r="W19" s="291"/>
      <c r="X19" s="291"/>
      <c r="Y19" s="291"/>
      <c r="Z19" s="291"/>
      <c r="AA19" s="291">
        <v>0</v>
      </c>
      <c r="AB19" s="291">
        <v>0</v>
      </c>
      <c r="AC19" s="291">
        <v>0</v>
      </c>
      <c r="AE19" s="176">
        <f t="shared" si="2"/>
        <v>0</v>
      </c>
      <c r="AF19" s="176">
        <f t="shared" si="2"/>
        <v>0</v>
      </c>
    </row>
    <row r="20" spans="1:32">
      <c r="A20" s="168">
        <v>2443</v>
      </c>
      <c r="B20" s="2">
        <v>142686</v>
      </c>
      <c r="C20" s="2" t="s">
        <v>224</v>
      </c>
      <c r="D20" s="30"/>
      <c r="E20" s="174">
        <v>0</v>
      </c>
      <c r="F20" s="174">
        <v>0</v>
      </c>
      <c r="G20" s="174">
        <v>0</v>
      </c>
      <c r="H20" s="174">
        <f t="shared" si="0"/>
        <v>0</v>
      </c>
      <c r="I20" s="226"/>
      <c r="J20" s="174">
        <v>0</v>
      </c>
      <c r="K20" s="174">
        <v>0</v>
      </c>
      <c r="L20" s="174">
        <v>0</v>
      </c>
      <c r="M20" s="174"/>
      <c r="N20" s="221"/>
      <c r="O20" s="198"/>
      <c r="P20" s="198">
        <v>212568.69</v>
      </c>
      <c r="Q20" s="198">
        <v>0</v>
      </c>
      <c r="R20" s="199">
        <f t="shared" si="1"/>
        <v>212568.69</v>
      </c>
      <c r="U20" s="199"/>
      <c r="V20" s="199">
        <v>0</v>
      </c>
      <c r="W20" s="291"/>
      <c r="X20" s="291"/>
      <c r="Y20" s="291"/>
      <c r="Z20" s="291"/>
      <c r="AA20" s="291">
        <v>0</v>
      </c>
      <c r="AB20" s="291">
        <v>0</v>
      </c>
      <c r="AC20" s="291">
        <v>0</v>
      </c>
      <c r="AE20" s="176">
        <f t="shared" si="2"/>
        <v>0</v>
      </c>
      <c r="AF20" s="176">
        <f t="shared" si="2"/>
        <v>212568.69</v>
      </c>
    </row>
    <row r="21" spans="1:32">
      <c r="A21" s="168">
        <v>4003</v>
      </c>
      <c r="B21" s="2">
        <v>138222</v>
      </c>
      <c r="C21" s="2" t="s">
        <v>225</v>
      </c>
      <c r="D21" s="30"/>
      <c r="E21" s="174">
        <v>0</v>
      </c>
      <c r="F21" s="174">
        <v>0</v>
      </c>
      <c r="G21" s="174">
        <v>0</v>
      </c>
      <c r="H21" s="174">
        <f t="shared" si="0"/>
        <v>0</v>
      </c>
      <c r="I21" s="226"/>
      <c r="J21" s="174">
        <v>0</v>
      </c>
      <c r="K21" s="174">
        <v>0</v>
      </c>
      <c r="L21" s="174">
        <v>0</v>
      </c>
      <c r="M21" s="174"/>
      <c r="N21" s="221"/>
      <c r="O21" s="198"/>
      <c r="P21" s="198">
        <v>0</v>
      </c>
      <c r="Q21" s="198">
        <v>0</v>
      </c>
      <c r="R21" s="199">
        <f t="shared" si="1"/>
        <v>0</v>
      </c>
      <c r="U21" s="199"/>
      <c r="V21" s="199">
        <v>0</v>
      </c>
      <c r="W21" s="291"/>
      <c r="X21" s="291"/>
      <c r="Y21" s="291"/>
      <c r="Z21" s="291"/>
      <c r="AA21" s="291">
        <v>0</v>
      </c>
      <c r="AB21" s="291">
        <v>0</v>
      </c>
      <c r="AC21" s="291">
        <v>0</v>
      </c>
      <c r="AE21" s="176">
        <f t="shared" si="2"/>
        <v>0</v>
      </c>
      <c r="AF21" s="176">
        <f t="shared" si="2"/>
        <v>0</v>
      </c>
    </row>
    <row r="22" spans="1:32">
      <c r="A22" s="168">
        <v>3412</v>
      </c>
      <c r="B22" s="2">
        <v>143437</v>
      </c>
      <c r="C22" s="2" t="s">
        <v>226</v>
      </c>
      <c r="D22" s="30"/>
      <c r="E22" s="174">
        <v>0</v>
      </c>
      <c r="F22" s="174">
        <v>0</v>
      </c>
      <c r="G22" s="174">
        <v>0</v>
      </c>
      <c r="H22" s="174">
        <f t="shared" si="0"/>
        <v>0</v>
      </c>
      <c r="I22" s="226"/>
      <c r="J22" s="174">
        <v>0</v>
      </c>
      <c r="K22" s="174">
        <v>0</v>
      </c>
      <c r="L22" s="174">
        <v>0</v>
      </c>
      <c r="M22" s="174"/>
      <c r="N22" s="221"/>
      <c r="O22" s="198"/>
      <c r="P22" s="198">
        <v>0</v>
      </c>
      <c r="Q22" s="198">
        <v>0</v>
      </c>
      <c r="R22" s="199">
        <f t="shared" si="1"/>
        <v>0</v>
      </c>
      <c r="U22" s="199"/>
      <c r="V22" s="199">
        <v>0</v>
      </c>
      <c r="W22" s="291"/>
      <c r="X22" s="291"/>
      <c r="Y22" s="291"/>
      <c r="Z22" s="291"/>
      <c r="AA22" s="291">
        <v>0</v>
      </c>
      <c r="AB22" s="291">
        <v>0</v>
      </c>
      <c r="AC22" s="291">
        <v>0</v>
      </c>
      <c r="AE22" s="176">
        <f t="shared" si="2"/>
        <v>0</v>
      </c>
      <c r="AF22" s="176">
        <f t="shared" si="2"/>
        <v>0</v>
      </c>
    </row>
    <row r="23" spans="1:32">
      <c r="A23" s="168">
        <v>2450</v>
      </c>
      <c r="B23" s="2">
        <v>138694</v>
      </c>
      <c r="C23" s="2" t="s">
        <v>227</v>
      </c>
      <c r="D23" s="30"/>
      <c r="E23" s="174">
        <v>0</v>
      </c>
      <c r="F23" s="174">
        <v>0</v>
      </c>
      <c r="G23" s="174">
        <v>0</v>
      </c>
      <c r="H23" s="174">
        <f t="shared" si="0"/>
        <v>0</v>
      </c>
      <c r="I23" s="226"/>
      <c r="J23" s="174">
        <v>0</v>
      </c>
      <c r="K23" s="174">
        <v>0</v>
      </c>
      <c r="L23" s="174">
        <v>0</v>
      </c>
      <c r="M23" s="174"/>
      <c r="N23" s="221"/>
      <c r="O23" s="198"/>
      <c r="P23" s="198">
        <v>2906.63</v>
      </c>
      <c r="Q23" s="198">
        <v>0</v>
      </c>
      <c r="R23" s="199">
        <f t="shared" si="1"/>
        <v>2906.63</v>
      </c>
      <c r="U23" s="199"/>
      <c r="V23" s="199">
        <v>0</v>
      </c>
      <c r="W23" s="291"/>
      <c r="X23" s="291"/>
      <c r="Y23" s="291"/>
      <c r="Z23" s="291"/>
      <c r="AA23" s="291">
        <v>0</v>
      </c>
      <c r="AB23" s="291">
        <v>0</v>
      </c>
      <c r="AC23" s="291">
        <v>0</v>
      </c>
      <c r="AE23" s="176">
        <f t="shared" si="2"/>
        <v>0</v>
      </c>
      <c r="AF23" s="176">
        <f t="shared" si="2"/>
        <v>2906.63</v>
      </c>
    </row>
    <row r="24" spans="1:32">
      <c r="A24" s="168">
        <v>4108</v>
      </c>
      <c r="B24" s="2">
        <v>136589</v>
      </c>
      <c r="C24" s="2" t="s">
        <v>228</v>
      </c>
      <c r="D24" s="30"/>
      <c r="E24" s="174">
        <v>0</v>
      </c>
      <c r="F24" s="174">
        <v>0</v>
      </c>
      <c r="G24" s="174">
        <v>0</v>
      </c>
      <c r="H24" s="174">
        <f t="shared" si="0"/>
        <v>0</v>
      </c>
      <c r="I24" s="226"/>
      <c r="J24" s="174">
        <v>0</v>
      </c>
      <c r="K24" s="174">
        <v>0</v>
      </c>
      <c r="L24" s="174">
        <v>0</v>
      </c>
      <c r="M24" s="174"/>
      <c r="N24" s="221"/>
      <c r="O24" s="198"/>
      <c r="P24" s="198">
        <v>72181.05</v>
      </c>
      <c r="Q24" s="198">
        <v>-15000</v>
      </c>
      <c r="R24" s="199">
        <f t="shared" si="1"/>
        <v>57181.05</v>
      </c>
      <c r="U24" s="199"/>
      <c r="V24" s="199">
        <v>0</v>
      </c>
      <c r="W24" s="291"/>
      <c r="X24" s="291"/>
      <c r="Y24" s="291"/>
      <c r="Z24" s="291"/>
      <c r="AA24" s="291">
        <v>0</v>
      </c>
      <c r="AB24" s="291">
        <v>0</v>
      </c>
      <c r="AC24" s="291">
        <v>42000</v>
      </c>
      <c r="AE24" s="176">
        <f t="shared" si="2"/>
        <v>-15000</v>
      </c>
      <c r="AF24" s="176">
        <f t="shared" si="2"/>
        <v>114181.05</v>
      </c>
    </row>
    <row r="25" spans="1:32">
      <c r="A25" s="168">
        <v>2072</v>
      </c>
      <c r="B25" s="2">
        <v>138888</v>
      </c>
      <c r="C25" s="2" t="s">
        <v>229</v>
      </c>
      <c r="D25" s="30"/>
      <c r="E25" s="174">
        <v>0</v>
      </c>
      <c r="F25" s="174">
        <v>0</v>
      </c>
      <c r="G25" s="174">
        <v>0</v>
      </c>
      <c r="H25" s="174">
        <f t="shared" si="0"/>
        <v>0</v>
      </c>
      <c r="I25" s="226"/>
      <c r="J25" s="174">
        <v>0</v>
      </c>
      <c r="K25" s="174">
        <v>0</v>
      </c>
      <c r="L25" s="174">
        <v>0</v>
      </c>
      <c r="M25" s="174"/>
      <c r="N25" s="221"/>
      <c r="O25" s="198"/>
      <c r="P25" s="198">
        <v>232618.79999999996</v>
      </c>
      <c r="Q25" s="198">
        <v>-12500</v>
      </c>
      <c r="R25" s="199">
        <f t="shared" si="1"/>
        <v>220118.79999999996</v>
      </c>
      <c r="U25" s="199"/>
      <c r="V25" s="199">
        <v>0</v>
      </c>
      <c r="W25" s="291"/>
      <c r="X25" s="291"/>
      <c r="Y25" s="291"/>
      <c r="Z25" s="291"/>
      <c r="AA25" s="291">
        <v>0</v>
      </c>
      <c r="AB25" s="291">
        <v>0</v>
      </c>
      <c r="AC25" s="291">
        <v>0</v>
      </c>
      <c r="AE25" s="176">
        <f t="shared" si="2"/>
        <v>-12500</v>
      </c>
      <c r="AF25" s="176">
        <f t="shared" si="2"/>
        <v>232618.79999999996</v>
      </c>
    </row>
    <row r="26" spans="1:32">
      <c r="A26" s="168">
        <v>2211</v>
      </c>
      <c r="B26" s="2">
        <v>150054</v>
      </c>
      <c r="C26" s="2" t="s">
        <v>230</v>
      </c>
      <c r="D26" s="30"/>
      <c r="E26" s="174">
        <v>0</v>
      </c>
      <c r="F26" s="174">
        <v>0</v>
      </c>
      <c r="G26" s="174">
        <v>0</v>
      </c>
      <c r="H26" s="174">
        <f t="shared" si="0"/>
        <v>0</v>
      </c>
      <c r="I26" s="226"/>
      <c r="J26" s="174">
        <v>0</v>
      </c>
      <c r="K26" s="174">
        <v>0</v>
      </c>
      <c r="L26" s="174">
        <v>0</v>
      </c>
      <c r="M26" s="174"/>
      <c r="N26" s="221"/>
      <c r="O26" s="198"/>
      <c r="P26" s="198">
        <v>0</v>
      </c>
      <c r="Q26" s="198">
        <v>0</v>
      </c>
      <c r="R26" s="199">
        <f t="shared" si="1"/>
        <v>0</v>
      </c>
      <c r="U26" s="199"/>
      <c r="V26" s="199">
        <v>0</v>
      </c>
      <c r="W26" s="291"/>
      <c r="X26" s="291"/>
      <c r="Y26" s="291"/>
      <c r="Z26" s="291"/>
      <c r="AA26" s="291">
        <v>0</v>
      </c>
      <c r="AB26" s="291">
        <v>0</v>
      </c>
      <c r="AC26" s="291">
        <v>0</v>
      </c>
      <c r="AE26" s="176">
        <f t="shared" si="2"/>
        <v>0</v>
      </c>
      <c r="AF26" s="176">
        <f t="shared" si="2"/>
        <v>0</v>
      </c>
    </row>
    <row r="27" spans="1:32">
      <c r="A27" s="168">
        <v>2186</v>
      </c>
      <c r="B27" s="2">
        <v>146075</v>
      </c>
      <c r="C27" s="2" t="s">
        <v>231</v>
      </c>
      <c r="D27" s="30"/>
      <c r="E27" s="174">
        <v>0</v>
      </c>
      <c r="F27" s="174">
        <v>0</v>
      </c>
      <c r="G27" s="174">
        <v>0</v>
      </c>
      <c r="H27" s="174">
        <f t="shared" si="0"/>
        <v>0</v>
      </c>
      <c r="I27" s="226"/>
      <c r="J27" s="174">
        <v>0</v>
      </c>
      <c r="K27" s="174">
        <v>0</v>
      </c>
      <c r="L27" s="174">
        <v>0</v>
      </c>
      <c r="M27" s="174"/>
      <c r="N27" s="221"/>
      <c r="O27" s="198"/>
      <c r="P27" s="198">
        <v>129679.75</v>
      </c>
      <c r="Q27" s="198">
        <v>0</v>
      </c>
      <c r="R27" s="199">
        <f t="shared" si="1"/>
        <v>129679.75</v>
      </c>
      <c r="U27" s="199"/>
      <c r="V27" s="199">
        <v>0</v>
      </c>
      <c r="W27" s="291"/>
      <c r="X27" s="291"/>
      <c r="Y27" s="291"/>
      <c r="Z27" s="291"/>
      <c r="AA27" s="291">
        <v>0</v>
      </c>
      <c r="AB27" s="291">
        <v>0</v>
      </c>
      <c r="AC27" s="291">
        <v>37849.32891025643</v>
      </c>
      <c r="AE27" s="176">
        <f t="shared" si="2"/>
        <v>0</v>
      </c>
      <c r="AF27" s="176">
        <f t="shared" si="2"/>
        <v>167529.07891025644</v>
      </c>
    </row>
    <row r="28" spans="1:32">
      <c r="A28" s="168">
        <v>4660</v>
      </c>
      <c r="B28" s="2">
        <v>137988</v>
      </c>
      <c r="C28" s="2" t="s">
        <v>232</v>
      </c>
      <c r="D28" s="30"/>
      <c r="E28" s="174">
        <v>0</v>
      </c>
      <c r="F28" s="174">
        <v>0</v>
      </c>
      <c r="G28" s="174">
        <v>0</v>
      </c>
      <c r="H28" s="174">
        <f t="shared" si="0"/>
        <v>0</v>
      </c>
      <c r="I28" s="226"/>
      <c r="J28" s="174">
        <v>0</v>
      </c>
      <c r="K28" s="174">
        <v>0</v>
      </c>
      <c r="L28" s="174">
        <v>0</v>
      </c>
      <c r="M28" s="174"/>
      <c r="N28" s="221"/>
      <c r="O28" s="198"/>
      <c r="P28" s="198">
        <v>0</v>
      </c>
      <c r="Q28" s="198">
        <v>0</v>
      </c>
      <c r="R28" s="199">
        <f t="shared" si="1"/>
        <v>0</v>
      </c>
      <c r="U28" s="199"/>
      <c r="V28" s="199">
        <v>0</v>
      </c>
      <c r="W28" s="291"/>
      <c r="X28" s="291"/>
      <c r="Y28" s="291"/>
      <c r="Z28" s="291"/>
      <c r="AA28" s="291">
        <v>0</v>
      </c>
      <c r="AB28" s="291">
        <v>0</v>
      </c>
      <c r="AC28" s="291">
        <v>0</v>
      </c>
      <c r="AE28" s="176">
        <f t="shared" si="2"/>
        <v>0</v>
      </c>
      <c r="AF28" s="176">
        <f t="shared" si="2"/>
        <v>0</v>
      </c>
    </row>
    <row r="29" spans="1:32">
      <c r="A29" s="168">
        <v>4661</v>
      </c>
      <c r="B29" s="2">
        <v>140524</v>
      </c>
      <c r="C29" s="2" t="s">
        <v>233</v>
      </c>
      <c r="D29" s="30"/>
      <c r="E29" s="174">
        <v>0</v>
      </c>
      <c r="F29" s="174">
        <v>0</v>
      </c>
      <c r="G29" s="174">
        <v>0</v>
      </c>
      <c r="H29" s="174">
        <f t="shared" si="0"/>
        <v>0</v>
      </c>
      <c r="I29" s="226"/>
      <c r="J29" s="174">
        <v>0</v>
      </c>
      <c r="K29" s="174">
        <v>0</v>
      </c>
      <c r="L29" s="174">
        <v>0</v>
      </c>
      <c r="M29" s="174"/>
      <c r="N29" s="221"/>
      <c r="O29" s="198"/>
      <c r="P29" s="198">
        <v>0</v>
      </c>
      <c r="Q29" s="198">
        <v>0</v>
      </c>
      <c r="R29" s="199">
        <f t="shared" si="1"/>
        <v>0</v>
      </c>
      <c r="U29" s="199"/>
      <c r="V29" s="199">
        <v>0</v>
      </c>
      <c r="W29" s="291"/>
      <c r="X29" s="291"/>
      <c r="Y29" s="291"/>
      <c r="Z29" s="291"/>
      <c r="AA29" s="291">
        <v>0</v>
      </c>
      <c r="AB29" s="291">
        <v>0</v>
      </c>
      <c r="AC29" s="291">
        <v>0</v>
      </c>
      <c r="AE29" s="176">
        <f t="shared" si="2"/>
        <v>0</v>
      </c>
      <c r="AF29" s="176">
        <f t="shared" si="2"/>
        <v>0</v>
      </c>
    </row>
    <row r="30" spans="1:32">
      <c r="A30" s="168">
        <v>4000</v>
      </c>
      <c r="B30" s="2">
        <v>136944</v>
      </c>
      <c r="C30" s="2" t="s">
        <v>234</v>
      </c>
      <c r="D30" s="30"/>
      <c r="E30" s="174">
        <v>0</v>
      </c>
      <c r="F30" s="174">
        <v>0</v>
      </c>
      <c r="G30" s="174">
        <v>0</v>
      </c>
      <c r="H30" s="174">
        <f t="shared" si="0"/>
        <v>0</v>
      </c>
      <c r="I30" s="226"/>
      <c r="J30" s="174">
        <v>0</v>
      </c>
      <c r="K30" s="174">
        <v>0</v>
      </c>
      <c r="L30" s="174">
        <v>0</v>
      </c>
      <c r="M30" s="174"/>
      <c r="N30" s="221"/>
      <c r="O30" s="198"/>
      <c r="P30" s="198">
        <v>0</v>
      </c>
      <c r="Q30" s="198">
        <v>0</v>
      </c>
      <c r="R30" s="199">
        <f t="shared" si="1"/>
        <v>0</v>
      </c>
      <c r="U30" s="199"/>
      <c r="V30" s="199">
        <v>0</v>
      </c>
      <c r="W30" s="291"/>
      <c r="X30" s="291"/>
      <c r="Y30" s="291"/>
      <c r="Z30" s="291"/>
      <c r="AA30" s="291">
        <v>0</v>
      </c>
      <c r="AB30" s="291">
        <v>0</v>
      </c>
      <c r="AC30" s="291">
        <v>0</v>
      </c>
      <c r="AE30" s="176">
        <f t="shared" si="2"/>
        <v>0</v>
      </c>
      <c r="AF30" s="176">
        <f t="shared" si="2"/>
        <v>0</v>
      </c>
    </row>
    <row r="31" spans="1:32">
      <c r="A31" s="168">
        <v>4044</v>
      </c>
      <c r="B31" s="2">
        <v>149042</v>
      </c>
      <c r="C31" s="2" t="s">
        <v>235</v>
      </c>
      <c r="D31" s="30"/>
      <c r="E31" s="174">
        <v>0</v>
      </c>
      <c r="F31" s="174">
        <v>0</v>
      </c>
      <c r="G31" s="174">
        <v>0</v>
      </c>
      <c r="H31" s="174">
        <f t="shared" si="0"/>
        <v>0</v>
      </c>
      <c r="I31" s="226"/>
      <c r="J31" s="174">
        <v>0</v>
      </c>
      <c r="K31" s="174">
        <v>0</v>
      </c>
      <c r="L31" s="174">
        <v>0</v>
      </c>
      <c r="M31" s="174"/>
      <c r="N31" s="221"/>
      <c r="O31" s="198"/>
      <c r="P31" s="198">
        <v>0</v>
      </c>
      <c r="Q31" s="198">
        <v>0</v>
      </c>
      <c r="R31" s="199">
        <f t="shared" si="1"/>
        <v>0</v>
      </c>
      <c r="U31" s="199"/>
      <c r="V31" s="199">
        <v>0</v>
      </c>
      <c r="W31" s="291"/>
      <c r="X31" s="291"/>
      <c r="Y31" s="291"/>
      <c r="Z31" s="291"/>
      <c r="AA31" s="291">
        <v>0</v>
      </c>
      <c r="AB31" s="291">
        <v>0</v>
      </c>
      <c r="AC31" s="291">
        <v>0</v>
      </c>
      <c r="AE31" s="176">
        <f t="shared" si="2"/>
        <v>0</v>
      </c>
      <c r="AF31" s="176">
        <f t="shared" si="2"/>
        <v>0</v>
      </c>
    </row>
    <row r="32" spans="1:32">
      <c r="A32" s="168">
        <v>4043</v>
      </c>
      <c r="B32" s="2">
        <v>148635</v>
      </c>
      <c r="C32" s="2" t="s">
        <v>236</v>
      </c>
      <c r="D32" s="30"/>
      <c r="E32" s="174">
        <v>0</v>
      </c>
      <c r="F32" s="174">
        <v>0</v>
      </c>
      <c r="G32" s="174">
        <v>0</v>
      </c>
      <c r="H32" s="174">
        <f t="shared" si="0"/>
        <v>0</v>
      </c>
      <c r="I32" s="226"/>
      <c r="J32" s="174">
        <v>0</v>
      </c>
      <c r="K32" s="174">
        <v>0</v>
      </c>
      <c r="L32" s="174">
        <v>0</v>
      </c>
      <c r="M32" s="174"/>
      <c r="N32" s="221"/>
      <c r="O32" s="198"/>
      <c r="P32" s="198">
        <v>0</v>
      </c>
      <c r="Q32" s="198">
        <v>0</v>
      </c>
      <c r="R32" s="199">
        <f t="shared" si="1"/>
        <v>0</v>
      </c>
      <c r="U32" s="199"/>
      <c r="V32" s="199">
        <v>0</v>
      </c>
      <c r="W32" s="291"/>
      <c r="X32" s="291"/>
      <c r="Y32" s="291"/>
      <c r="Z32" s="291"/>
      <c r="AA32" s="291">
        <v>0</v>
      </c>
      <c r="AB32" s="291">
        <v>0</v>
      </c>
      <c r="AC32" s="291">
        <v>0</v>
      </c>
      <c r="AE32" s="176">
        <f t="shared" si="2"/>
        <v>0</v>
      </c>
      <c r="AF32" s="176">
        <f t="shared" si="2"/>
        <v>0</v>
      </c>
    </row>
    <row r="33" spans="1:32">
      <c r="A33" s="168">
        <v>2171</v>
      </c>
      <c r="B33" s="2">
        <v>144337</v>
      </c>
      <c r="C33" s="2" t="s">
        <v>237</v>
      </c>
      <c r="D33" s="30"/>
      <c r="E33" s="174">
        <v>0</v>
      </c>
      <c r="F33" s="174">
        <v>0</v>
      </c>
      <c r="G33" s="174">
        <v>0</v>
      </c>
      <c r="H33" s="174">
        <f t="shared" si="0"/>
        <v>0</v>
      </c>
      <c r="I33" s="226"/>
      <c r="J33" s="174">
        <v>0</v>
      </c>
      <c r="K33" s="174">
        <v>0</v>
      </c>
      <c r="L33" s="174">
        <v>0</v>
      </c>
      <c r="M33" s="174"/>
      <c r="N33" s="221"/>
      <c r="O33" s="198"/>
      <c r="P33" s="198">
        <v>0</v>
      </c>
      <c r="Q33" s="198">
        <v>0</v>
      </c>
      <c r="R33" s="199">
        <f t="shared" si="1"/>
        <v>0</v>
      </c>
      <c r="U33" s="199"/>
      <c r="V33" s="199">
        <v>0</v>
      </c>
      <c r="W33" s="291"/>
      <c r="X33" s="291"/>
      <c r="Y33" s="291"/>
      <c r="Z33" s="291"/>
      <c r="AA33" s="291">
        <v>0</v>
      </c>
      <c r="AB33" s="291">
        <v>0</v>
      </c>
      <c r="AC33" s="291">
        <v>0</v>
      </c>
      <c r="AE33" s="176">
        <f t="shared" si="2"/>
        <v>0</v>
      </c>
      <c r="AF33" s="176">
        <f t="shared" si="2"/>
        <v>0</v>
      </c>
    </row>
    <row r="34" spans="1:32">
      <c r="A34" s="168">
        <v>4017</v>
      </c>
      <c r="B34" s="2">
        <v>141318</v>
      </c>
      <c r="C34" s="2" t="s">
        <v>238</v>
      </c>
      <c r="D34" s="30"/>
      <c r="E34" s="174">
        <v>0</v>
      </c>
      <c r="F34" s="174">
        <v>0</v>
      </c>
      <c r="G34" s="174">
        <v>0</v>
      </c>
      <c r="H34" s="174">
        <f t="shared" si="0"/>
        <v>0</v>
      </c>
      <c r="I34" s="226"/>
      <c r="J34" s="174">
        <v>0</v>
      </c>
      <c r="K34" s="174">
        <v>0</v>
      </c>
      <c r="L34" s="174">
        <v>0</v>
      </c>
      <c r="M34" s="174"/>
      <c r="N34" s="221"/>
      <c r="O34" s="198"/>
      <c r="P34" s="198">
        <v>16972.310000000001</v>
      </c>
      <c r="Q34" s="198">
        <v>-3333.3333333333335</v>
      </c>
      <c r="R34" s="199">
        <f t="shared" si="1"/>
        <v>13638.976666666667</v>
      </c>
      <c r="U34" s="199"/>
      <c r="V34" s="199">
        <v>0</v>
      </c>
      <c r="W34" s="291"/>
      <c r="X34" s="291"/>
      <c r="Y34" s="291"/>
      <c r="Z34" s="291"/>
      <c r="AA34" s="291">
        <v>0</v>
      </c>
      <c r="AB34" s="291">
        <v>0</v>
      </c>
      <c r="AC34" s="291">
        <v>0</v>
      </c>
      <c r="AE34" s="176">
        <f t="shared" si="2"/>
        <v>-3333.3333333333335</v>
      </c>
      <c r="AF34" s="176">
        <f t="shared" si="2"/>
        <v>16972.310000000001</v>
      </c>
    </row>
    <row r="35" spans="1:32">
      <c r="A35" s="168">
        <v>7038</v>
      </c>
      <c r="B35" s="2">
        <v>144042</v>
      </c>
      <c r="C35" s="2" t="s">
        <v>239</v>
      </c>
      <c r="D35" s="30"/>
      <c r="E35" s="174">
        <v>116050</v>
      </c>
      <c r="F35" s="174">
        <v>962542.6524985648</v>
      </c>
      <c r="G35" s="174">
        <v>72600</v>
      </c>
      <c r="H35" s="174">
        <f t="shared" si="0"/>
        <v>1151192.6524985647</v>
      </c>
      <c r="I35" s="226"/>
      <c r="J35" s="174">
        <v>138461.53846153861</v>
      </c>
      <c r="K35" s="174">
        <v>70122</v>
      </c>
      <c r="L35" s="174">
        <v>0</v>
      </c>
      <c r="M35" s="174"/>
      <c r="N35" s="221"/>
      <c r="O35" s="198"/>
      <c r="P35" s="198">
        <v>0</v>
      </c>
      <c r="Q35" s="198">
        <v>0</v>
      </c>
      <c r="R35" s="199">
        <f t="shared" si="1"/>
        <v>0</v>
      </c>
      <c r="U35" s="199"/>
      <c r="V35" s="199">
        <v>0</v>
      </c>
      <c r="W35" s="291"/>
      <c r="X35" s="291"/>
      <c r="Y35" s="291"/>
      <c r="Z35" s="291"/>
      <c r="AA35" s="291">
        <v>0</v>
      </c>
      <c r="AB35" s="291">
        <v>0</v>
      </c>
      <c r="AC35" s="291">
        <v>0</v>
      </c>
      <c r="AE35" s="176">
        <f t="shared" si="2"/>
        <v>116050</v>
      </c>
      <c r="AF35" s="176">
        <f t="shared" si="2"/>
        <v>1243726.1909601034</v>
      </c>
    </row>
    <row r="36" spans="1:32">
      <c r="A36" s="168">
        <v>4227</v>
      </c>
      <c r="B36" s="2">
        <v>139841</v>
      </c>
      <c r="C36" s="2" t="s">
        <v>240</v>
      </c>
      <c r="D36" s="30"/>
      <c r="E36" s="174">
        <v>0</v>
      </c>
      <c r="F36" s="174">
        <v>0</v>
      </c>
      <c r="G36" s="174">
        <v>0</v>
      </c>
      <c r="H36" s="174">
        <f t="shared" si="0"/>
        <v>0</v>
      </c>
      <c r="I36" s="226"/>
      <c r="J36" s="174">
        <v>0</v>
      </c>
      <c r="K36" s="174">
        <v>0</v>
      </c>
      <c r="L36" s="174">
        <v>0</v>
      </c>
      <c r="M36" s="174"/>
      <c r="N36" s="221"/>
      <c r="O36" s="198"/>
      <c r="P36" s="198">
        <v>0</v>
      </c>
      <c r="Q36" s="198">
        <v>0</v>
      </c>
      <c r="R36" s="199">
        <f t="shared" si="1"/>
        <v>0</v>
      </c>
      <c r="U36" s="199"/>
      <c r="V36" s="199">
        <v>0</v>
      </c>
      <c r="W36" s="291"/>
      <c r="X36" s="291"/>
      <c r="Y36" s="291"/>
      <c r="Z36" s="291"/>
      <c r="AA36" s="291">
        <v>0</v>
      </c>
      <c r="AB36" s="291">
        <v>0</v>
      </c>
      <c r="AC36" s="291">
        <v>0</v>
      </c>
      <c r="AE36" s="176">
        <f t="shared" si="2"/>
        <v>0</v>
      </c>
      <c r="AF36" s="176">
        <f t="shared" si="2"/>
        <v>0</v>
      </c>
    </row>
    <row r="37" spans="1:32">
      <c r="A37" s="168">
        <v>2196</v>
      </c>
      <c r="B37" s="2">
        <v>146437</v>
      </c>
      <c r="C37" s="2" t="s">
        <v>241</v>
      </c>
      <c r="D37" s="30"/>
      <c r="E37" s="174">
        <v>0</v>
      </c>
      <c r="F37" s="174">
        <v>0</v>
      </c>
      <c r="G37" s="174">
        <v>0</v>
      </c>
      <c r="H37" s="174">
        <f t="shared" si="0"/>
        <v>0</v>
      </c>
      <c r="I37" s="226"/>
      <c r="J37" s="174">
        <v>0</v>
      </c>
      <c r="K37" s="174">
        <v>0</v>
      </c>
      <c r="L37" s="174">
        <v>0</v>
      </c>
      <c r="M37" s="174"/>
      <c r="N37" s="221"/>
      <c r="O37" s="198"/>
      <c r="P37" s="198">
        <v>0</v>
      </c>
      <c r="Q37" s="198">
        <v>0</v>
      </c>
      <c r="R37" s="199">
        <f t="shared" si="1"/>
        <v>0</v>
      </c>
      <c r="U37" s="199"/>
      <c r="V37" s="199">
        <v>0</v>
      </c>
      <c r="W37" s="291"/>
      <c r="X37" s="291"/>
      <c r="Y37" s="291"/>
      <c r="Z37" s="291"/>
      <c r="AA37" s="291">
        <v>0</v>
      </c>
      <c r="AB37" s="291">
        <v>0</v>
      </c>
      <c r="AC37" s="291">
        <v>0</v>
      </c>
      <c r="AE37" s="176">
        <f t="shared" si="2"/>
        <v>0</v>
      </c>
      <c r="AF37" s="176">
        <f t="shared" si="2"/>
        <v>0</v>
      </c>
    </row>
    <row r="38" spans="1:32">
      <c r="A38" s="168">
        <v>2295</v>
      </c>
      <c r="B38" s="2">
        <v>139465</v>
      </c>
      <c r="C38" s="2" t="s">
        <v>242</v>
      </c>
      <c r="D38" s="30"/>
      <c r="E38" s="174">
        <v>0</v>
      </c>
      <c r="F38" s="174">
        <v>0</v>
      </c>
      <c r="G38" s="174">
        <v>0</v>
      </c>
      <c r="H38" s="174">
        <f t="shared" si="0"/>
        <v>0</v>
      </c>
      <c r="I38" s="226"/>
      <c r="J38" s="174">
        <v>0</v>
      </c>
      <c r="K38" s="174">
        <v>0</v>
      </c>
      <c r="L38" s="174">
        <v>0</v>
      </c>
      <c r="M38" s="174"/>
      <c r="N38" s="221"/>
      <c r="O38" s="198"/>
      <c r="P38" s="198">
        <v>0</v>
      </c>
      <c r="Q38" s="198">
        <v>0</v>
      </c>
      <c r="R38" s="199">
        <f t="shared" si="1"/>
        <v>0</v>
      </c>
      <c r="U38" s="199"/>
      <c r="V38" s="199">
        <v>0</v>
      </c>
      <c r="W38" s="291"/>
      <c r="X38" s="291"/>
      <c r="Y38" s="291"/>
      <c r="Z38" s="291"/>
      <c r="AA38" s="291">
        <v>0</v>
      </c>
      <c r="AB38" s="291">
        <v>0</v>
      </c>
      <c r="AC38" s="291">
        <v>0</v>
      </c>
      <c r="AE38" s="176">
        <f t="shared" si="2"/>
        <v>0</v>
      </c>
      <c r="AF38" s="176">
        <f t="shared" si="2"/>
        <v>0</v>
      </c>
    </row>
    <row r="39" spans="1:32">
      <c r="A39" s="168">
        <v>2152</v>
      </c>
      <c r="B39" s="2">
        <v>141320</v>
      </c>
      <c r="C39" s="2" t="s">
        <v>243</v>
      </c>
      <c r="D39" s="30"/>
      <c r="E39" s="174">
        <v>0</v>
      </c>
      <c r="F39" s="174">
        <v>0</v>
      </c>
      <c r="G39" s="174">
        <v>0</v>
      </c>
      <c r="H39" s="174">
        <f t="shared" si="0"/>
        <v>0</v>
      </c>
      <c r="I39" s="226"/>
      <c r="J39" s="174">
        <v>0</v>
      </c>
      <c r="K39" s="174">
        <v>0</v>
      </c>
      <c r="L39" s="174">
        <v>0</v>
      </c>
      <c r="M39" s="174"/>
      <c r="N39" s="221"/>
      <c r="O39" s="198"/>
      <c r="P39" s="198">
        <v>0</v>
      </c>
      <c r="Q39" s="198">
        <v>0</v>
      </c>
      <c r="R39" s="199">
        <f t="shared" si="1"/>
        <v>0</v>
      </c>
      <c r="U39" s="199"/>
      <c r="V39" s="199">
        <v>0</v>
      </c>
      <c r="W39" s="291"/>
      <c r="X39" s="291"/>
      <c r="Y39" s="291"/>
      <c r="Z39" s="291"/>
      <c r="AA39" s="291">
        <v>0</v>
      </c>
      <c r="AB39" s="291">
        <v>0</v>
      </c>
      <c r="AC39" s="291">
        <v>0</v>
      </c>
      <c r="AE39" s="176">
        <f t="shared" si="2"/>
        <v>0</v>
      </c>
      <c r="AF39" s="176">
        <f t="shared" si="2"/>
        <v>0</v>
      </c>
    </row>
    <row r="40" spans="1:32">
      <c r="A40" s="168">
        <v>7013</v>
      </c>
      <c r="B40" s="2">
        <v>141252</v>
      </c>
      <c r="C40" s="2" t="s">
        <v>244</v>
      </c>
      <c r="D40" s="30"/>
      <c r="E40" s="174">
        <v>495850</v>
      </c>
      <c r="F40" s="174">
        <v>4813510.069324363</v>
      </c>
      <c r="G40" s="174">
        <v>310200</v>
      </c>
      <c r="H40" s="174">
        <f t="shared" si="0"/>
        <v>5619560.069324363</v>
      </c>
      <c r="I40" s="226"/>
      <c r="J40" s="174">
        <v>1092000</v>
      </c>
      <c r="K40" s="174">
        <v>2526</v>
      </c>
      <c r="L40" s="174">
        <v>0</v>
      </c>
      <c r="M40" s="174"/>
      <c r="N40" s="221"/>
      <c r="O40" s="198"/>
      <c r="P40" s="198">
        <v>0</v>
      </c>
      <c r="Q40" s="198">
        <v>0</v>
      </c>
      <c r="R40" s="199">
        <f t="shared" si="1"/>
        <v>0</v>
      </c>
      <c r="U40" s="199"/>
      <c r="V40" s="199">
        <v>0</v>
      </c>
      <c r="W40" s="291"/>
      <c r="X40" s="291"/>
      <c r="Y40" s="291"/>
      <c r="Z40" s="291"/>
      <c r="AA40" s="291">
        <v>0</v>
      </c>
      <c r="AB40" s="291">
        <v>341132.49118960276</v>
      </c>
      <c r="AC40" s="291">
        <v>0</v>
      </c>
      <c r="AE40" s="176">
        <f t="shared" si="2"/>
        <v>495850</v>
      </c>
      <c r="AF40" s="176">
        <f t="shared" si="2"/>
        <v>6559368.5605139658</v>
      </c>
    </row>
    <row r="41" spans="1:32">
      <c r="A41" s="168">
        <v>2039</v>
      </c>
      <c r="B41" s="2">
        <v>143942</v>
      </c>
      <c r="C41" s="2" t="s">
        <v>245</v>
      </c>
      <c r="D41" s="30"/>
      <c r="E41" s="174">
        <v>0</v>
      </c>
      <c r="F41" s="174">
        <v>0</v>
      </c>
      <c r="G41" s="174">
        <v>0</v>
      </c>
      <c r="H41" s="174">
        <f t="shared" si="0"/>
        <v>0</v>
      </c>
      <c r="I41" s="226"/>
      <c r="J41" s="174">
        <v>0</v>
      </c>
      <c r="K41" s="174">
        <v>0</v>
      </c>
      <c r="L41" s="174">
        <v>0</v>
      </c>
      <c r="M41" s="174"/>
      <c r="N41" s="221"/>
      <c r="O41" s="198"/>
      <c r="P41" s="198">
        <v>0</v>
      </c>
      <c r="Q41" s="198">
        <v>0</v>
      </c>
      <c r="R41" s="199">
        <f t="shared" si="1"/>
        <v>0</v>
      </c>
      <c r="U41" s="199"/>
      <c r="V41" s="199">
        <v>0</v>
      </c>
      <c r="W41" s="291"/>
      <c r="X41" s="291"/>
      <c r="Y41" s="291"/>
      <c r="Z41" s="291"/>
      <c r="AA41" s="291">
        <v>0</v>
      </c>
      <c r="AB41" s="291">
        <v>0</v>
      </c>
      <c r="AC41" s="291">
        <v>0</v>
      </c>
      <c r="AE41" s="176">
        <f t="shared" si="2"/>
        <v>0</v>
      </c>
      <c r="AF41" s="176">
        <f t="shared" si="2"/>
        <v>0</v>
      </c>
    </row>
    <row r="42" spans="1:32">
      <c r="A42" s="168">
        <v>2226</v>
      </c>
      <c r="B42" s="2">
        <v>143088</v>
      </c>
      <c r="C42" s="2" t="s">
        <v>246</v>
      </c>
      <c r="D42" s="30"/>
      <c r="E42" s="174">
        <v>0</v>
      </c>
      <c r="F42" s="174">
        <v>0</v>
      </c>
      <c r="G42" s="174">
        <v>0</v>
      </c>
      <c r="H42" s="174">
        <f t="shared" si="0"/>
        <v>0</v>
      </c>
      <c r="I42" s="226"/>
      <c r="J42" s="174">
        <v>0</v>
      </c>
      <c r="K42" s="174">
        <v>0</v>
      </c>
      <c r="L42" s="174">
        <v>0</v>
      </c>
      <c r="M42" s="174"/>
      <c r="N42" s="221"/>
      <c r="O42" s="198"/>
      <c r="P42" s="198">
        <v>0</v>
      </c>
      <c r="Q42" s="198">
        <v>0</v>
      </c>
      <c r="R42" s="199">
        <f t="shared" si="1"/>
        <v>0</v>
      </c>
      <c r="U42" s="199"/>
      <c r="V42" s="199">
        <v>0</v>
      </c>
      <c r="W42" s="291"/>
      <c r="X42" s="291"/>
      <c r="Y42" s="291"/>
      <c r="Z42" s="291"/>
      <c r="AA42" s="291">
        <v>0</v>
      </c>
      <c r="AB42" s="291">
        <v>0</v>
      </c>
      <c r="AC42" s="291">
        <v>0</v>
      </c>
      <c r="AE42" s="176">
        <f t="shared" si="2"/>
        <v>0</v>
      </c>
      <c r="AF42" s="176">
        <f t="shared" si="2"/>
        <v>0</v>
      </c>
    </row>
    <row r="43" spans="1:32">
      <c r="A43" s="168">
        <v>2170</v>
      </c>
      <c r="B43" s="2">
        <v>143908</v>
      </c>
      <c r="C43" s="2" t="s">
        <v>247</v>
      </c>
      <c r="D43" s="30"/>
      <c r="E43" s="174">
        <v>0</v>
      </c>
      <c r="F43" s="174">
        <v>0</v>
      </c>
      <c r="G43" s="174">
        <v>0</v>
      </c>
      <c r="H43" s="174">
        <f t="shared" si="0"/>
        <v>0</v>
      </c>
      <c r="I43" s="226"/>
      <c r="J43" s="174">
        <v>0</v>
      </c>
      <c r="K43" s="174">
        <v>0</v>
      </c>
      <c r="L43" s="174">
        <v>0</v>
      </c>
      <c r="M43" s="174"/>
      <c r="N43" s="221"/>
      <c r="O43" s="198"/>
      <c r="P43" s="198">
        <v>0</v>
      </c>
      <c r="Q43" s="198">
        <v>0</v>
      </c>
      <c r="R43" s="199">
        <f t="shared" si="1"/>
        <v>0</v>
      </c>
      <c r="U43" s="199"/>
      <c r="V43" s="199">
        <v>0</v>
      </c>
      <c r="W43" s="291"/>
      <c r="X43" s="291"/>
      <c r="Y43" s="291"/>
      <c r="Z43" s="291"/>
      <c r="AA43" s="291">
        <v>0</v>
      </c>
      <c r="AB43" s="291">
        <v>0</v>
      </c>
      <c r="AC43" s="291">
        <v>0</v>
      </c>
      <c r="AE43" s="176">
        <f t="shared" si="2"/>
        <v>0</v>
      </c>
      <c r="AF43" s="176">
        <f t="shared" si="2"/>
        <v>0</v>
      </c>
    </row>
    <row r="44" spans="1:32">
      <c r="A44" s="168">
        <v>2047</v>
      </c>
      <c r="B44" s="2">
        <v>138395</v>
      </c>
      <c r="C44" s="2" t="s">
        <v>248</v>
      </c>
      <c r="D44" s="30"/>
      <c r="E44" s="174">
        <v>0</v>
      </c>
      <c r="F44" s="174">
        <v>0</v>
      </c>
      <c r="G44" s="174">
        <v>0</v>
      </c>
      <c r="H44" s="174">
        <f t="shared" si="0"/>
        <v>0</v>
      </c>
      <c r="I44" s="226"/>
      <c r="J44" s="174">
        <v>0</v>
      </c>
      <c r="K44" s="174">
        <v>0</v>
      </c>
      <c r="L44" s="174">
        <v>0</v>
      </c>
      <c r="M44" s="174"/>
      <c r="N44" s="221"/>
      <c r="O44" s="198"/>
      <c r="P44" s="198">
        <v>0</v>
      </c>
      <c r="Q44" s="198">
        <v>0</v>
      </c>
      <c r="R44" s="199">
        <f t="shared" si="1"/>
        <v>0</v>
      </c>
      <c r="U44" s="199"/>
      <c r="V44" s="199">
        <v>0</v>
      </c>
      <c r="W44" s="291"/>
      <c r="X44" s="291"/>
      <c r="Y44" s="291"/>
      <c r="Z44" s="291"/>
      <c r="AA44" s="291">
        <v>0</v>
      </c>
      <c r="AB44" s="291">
        <v>0</v>
      </c>
      <c r="AC44" s="291">
        <v>0</v>
      </c>
      <c r="AE44" s="176">
        <f t="shared" si="2"/>
        <v>0</v>
      </c>
      <c r="AF44" s="176">
        <f t="shared" si="2"/>
        <v>0</v>
      </c>
    </row>
    <row r="45" spans="1:32">
      <c r="A45" s="168">
        <v>2140</v>
      </c>
      <c r="B45" s="2">
        <v>140159</v>
      </c>
      <c r="C45" s="2" t="s">
        <v>249</v>
      </c>
      <c r="D45" s="30"/>
      <c r="E45" s="174">
        <v>0</v>
      </c>
      <c r="F45" s="174">
        <v>0</v>
      </c>
      <c r="G45" s="174">
        <v>0</v>
      </c>
      <c r="H45" s="174">
        <f t="shared" si="0"/>
        <v>0</v>
      </c>
      <c r="I45" s="226"/>
      <c r="J45" s="174">
        <v>0</v>
      </c>
      <c r="K45" s="174">
        <v>0</v>
      </c>
      <c r="L45" s="174">
        <v>0</v>
      </c>
      <c r="M45" s="174"/>
      <c r="N45" s="221"/>
      <c r="O45" s="198"/>
      <c r="P45" s="198">
        <v>0</v>
      </c>
      <c r="Q45" s="198">
        <v>0</v>
      </c>
      <c r="R45" s="199">
        <f t="shared" si="1"/>
        <v>0</v>
      </c>
      <c r="U45" s="199"/>
      <c r="V45" s="199">
        <v>0</v>
      </c>
      <c r="W45" s="291"/>
      <c r="X45" s="291"/>
      <c r="Y45" s="291"/>
      <c r="Z45" s="291"/>
      <c r="AA45" s="291">
        <v>0</v>
      </c>
      <c r="AB45" s="291">
        <v>0</v>
      </c>
      <c r="AC45" s="291">
        <v>0</v>
      </c>
      <c r="AE45" s="176">
        <f t="shared" si="2"/>
        <v>0</v>
      </c>
      <c r="AF45" s="176">
        <f t="shared" si="2"/>
        <v>0</v>
      </c>
    </row>
    <row r="46" spans="1:32">
      <c r="A46" s="168">
        <v>4042</v>
      </c>
      <c r="B46" s="2">
        <v>148589</v>
      </c>
      <c r="C46" s="2" t="s">
        <v>250</v>
      </c>
      <c r="D46" s="30"/>
      <c r="E46" s="174">
        <v>0</v>
      </c>
      <c r="F46" s="174">
        <v>0</v>
      </c>
      <c r="G46" s="174">
        <v>0</v>
      </c>
      <c r="H46" s="174">
        <f t="shared" si="0"/>
        <v>0</v>
      </c>
      <c r="I46" s="226"/>
      <c r="J46" s="174">
        <v>0</v>
      </c>
      <c r="K46" s="174">
        <v>0</v>
      </c>
      <c r="L46" s="174">
        <v>0</v>
      </c>
      <c r="M46" s="174"/>
      <c r="N46" s="221"/>
      <c r="O46" s="198"/>
      <c r="P46" s="198">
        <v>0</v>
      </c>
      <c r="Q46" s="198">
        <v>0</v>
      </c>
      <c r="R46" s="199">
        <f t="shared" si="1"/>
        <v>0</v>
      </c>
      <c r="U46" s="199"/>
      <c r="V46" s="199">
        <v>0</v>
      </c>
      <c r="W46" s="291"/>
      <c r="X46" s="291"/>
      <c r="Y46" s="291"/>
      <c r="Z46" s="291"/>
      <c r="AA46" s="291">
        <v>0</v>
      </c>
      <c r="AB46" s="291">
        <v>0</v>
      </c>
      <c r="AC46" s="291">
        <v>0</v>
      </c>
      <c r="AE46" s="176">
        <f t="shared" si="2"/>
        <v>0</v>
      </c>
      <c r="AF46" s="176">
        <f t="shared" si="2"/>
        <v>0</v>
      </c>
    </row>
    <row r="47" spans="1:32">
      <c r="A47" s="168">
        <v>4039</v>
      </c>
      <c r="B47" s="2">
        <v>148187</v>
      </c>
      <c r="C47" s="2" t="s">
        <v>251</v>
      </c>
      <c r="D47" s="30"/>
      <c r="E47" s="174">
        <v>0</v>
      </c>
      <c r="F47" s="174">
        <v>0</v>
      </c>
      <c r="G47" s="174">
        <v>0</v>
      </c>
      <c r="H47" s="174">
        <f t="shared" si="0"/>
        <v>0</v>
      </c>
      <c r="I47" s="226"/>
      <c r="J47" s="174">
        <v>0</v>
      </c>
      <c r="K47" s="174">
        <v>0</v>
      </c>
      <c r="L47" s="174">
        <v>0</v>
      </c>
      <c r="M47" s="174"/>
      <c r="N47" s="221"/>
      <c r="O47" s="198"/>
      <c r="P47" s="198">
        <v>0</v>
      </c>
      <c r="Q47" s="198">
        <v>0</v>
      </c>
      <c r="R47" s="199">
        <f t="shared" si="1"/>
        <v>0</v>
      </c>
      <c r="U47" s="199"/>
      <c r="V47" s="199">
        <v>0</v>
      </c>
      <c r="W47" s="291"/>
      <c r="X47" s="291"/>
      <c r="Y47" s="291"/>
      <c r="Z47" s="291"/>
      <c r="AA47" s="291">
        <v>0</v>
      </c>
      <c r="AB47" s="291">
        <v>0</v>
      </c>
      <c r="AC47" s="291">
        <v>0</v>
      </c>
      <c r="AE47" s="176">
        <f t="shared" si="2"/>
        <v>0</v>
      </c>
      <c r="AF47" s="176">
        <f t="shared" si="2"/>
        <v>0</v>
      </c>
    </row>
    <row r="48" spans="1:32">
      <c r="A48" s="168">
        <v>2194</v>
      </c>
      <c r="B48" s="2">
        <v>146385</v>
      </c>
      <c r="C48" s="2" t="s">
        <v>252</v>
      </c>
      <c r="D48" s="30"/>
      <c r="E48" s="174">
        <v>0</v>
      </c>
      <c r="F48" s="174">
        <v>0</v>
      </c>
      <c r="G48" s="174">
        <v>0</v>
      </c>
      <c r="H48" s="174">
        <f t="shared" si="0"/>
        <v>0</v>
      </c>
      <c r="I48" s="226"/>
      <c r="J48" s="174">
        <v>0</v>
      </c>
      <c r="K48" s="174">
        <v>0</v>
      </c>
      <c r="L48" s="174">
        <v>0</v>
      </c>
      <c r="M48" s="174"/>
      <c r="N48" s="221"/>
      <c r="O48" s="198"/>
      <c r="P48" s="198">
        <v>0</v>
      </c>
      <c r="Q48" s="198">
        <v>0</v>
      </c>
      <c r="R48" s="199">
        <f t="shared" si="1"/>
        <v>0</v>
      </c>
      <c r="U48" s="199"/>
      <c r="V48" s="199">
        <v>0</v>
      </c>
      <c r="W48" s="291"/>
      <c r="X48" s="291"/>
      <c r="Y48" s="291"/>
      <c r="Z48" s="291"/>
      <c r="AA48" s="291">
        <v>0</v>
      </c>
      <c r="AB48" s="291">
        <v>0</v>
      </c>
      <c r="AC48" s="291">
        <v>0</v>
      </c>
      <c r="AE48" s="176">
        <f t="shared" si="2"/>
        <v>0</v>
      </c>
      <c r="AF48" s="176">
        <f t="shared" si="2"/>
        <v>0</v>
      </c>
    </row>
    <row r="49" spans="1:32">
      <c r="A49" s="168">
        <v>4022</v>
      </c>
      <c r="B49" s="2">
        <v>142388</v>
      </c>
      <c r="C49" s="2" t="s">
        <v>253</v>
      </c>
      <c r="D49" s="30"/>
      <c r="E49" s="174">
        <v>0</v>
      </c>
      <c r="F49" s="174">
        <v>0</v>
      </c>
      <c r="G49" s="174">
        <v>0</v>
      </c>
      <c r="H49" s="174">
        <f t="shared" si="0"/>
        <v>0</v>
      </c>
      <c r="I49" s="226"/>
      <c r="J49" s="174">
        <v>0</v>
      </c>
      <c r="K49" s="174">
        <v>0</v>
      </c>
      <c r="L49" s="174">
        <v>0</v>
      </c>
      <c r="M49" s="174"/>
      <c r="N49" s="221"/>
      <c r="O49" s="198"/>
      <c r="P49" s="198">
        <v>0</v>
      </c>
      <c r="Q49" s="198">
        <v>0</v>
      </c>
      <c r="R49" s="199">
        <f t="shared" si="1"/>
        <v>0</v>
      </c>
      <c r="U49" s="199"/>
      <c r="V49" s="199">
        <v>0</v>
      </c>
      <c r="W49" s="291"/>
      <c r="X49" s="291"/>
      <c r="Y49" s="291"/>
      <c r="Z49" s="291"/>
      <c r="AA49" s="291">
        <v>0</v>
      </c>
      <c r="AB49" s="291">
        <v>0</v>
      </c>
      <c r="AC49" s="291">
        <v>0</v>
      </c>
      <c r="AE49" s="176">
        <f t="shared" si="2"/>
        <v>0</v>
      </c>
      <c r="AF49" s="176">
        <f t="shared" si="2"/>
        <v>0</v>
      </c>
    </row>
    <row r="50" spans="1:32">
      <c r="A50" s="168">
        <v>2052</v>
      </c>
      <c r="B50" s="2">
        <v>146696</v>
      </c>
      <c r="C50" s="2" t="s">
        <v>254</v>
      </c>
      <c r="D50" s="30"/>
      <c r="E50" s="174">
        <v>0</v>
      </c>
      <c r="F50" s="174">
        <v>0</v>
      </c>
      <c r="G50" s="174">
        <v>0</v>
      </c>
      <c r="H50" s="174">
        <f t="shared" si="0"/>
        <v>0</v>
      </c>
      <c r="I50" s="226"/>
      <c r="J50" s="174">
        <v>0</v>
      </c>
      <c r="K50" s="174">
        <v>0</v>
      </c>
      <c r="L50" s="174">
        <v>0</v>
      </c>
      <c r="M50" s="174"/>
      <c r="N50" s="221"/>
      <c r="O50" s="198"/>
      <c r="P50" s="198">
        <v>0</v>
      </c>
      <c r="Q50" s="198">
        <v>0</v>
      </c>
      <c r="R50" s="199">
        <f t="shared" si="1"/>
        <v>0</v>
      </c>
      <c r="U50" s="199"/>
      <c r="V50" s="199">
        <v>0</v>
      </c>
      <c r="W50" s="291"/>
      <c r="X50" s="291"/>
      <c r="Y50" s="291"/>
      <c r="Z50" s="291"/>
      <c r="AA50" s="291">
        <v>0</v>
      </c>
      <c r="AB50" s="291">
        <v>0</v>
      </c>
      <c r="AC50" s="291">
        <v>0</v>
      </c>
      <c r="AE50" s="176">
        <f t="shared" si="2"/>
        <v>0</v>
      </c>
      <c r="AF50" s="176">
        <f t="shared" si="2"/>
        <v>0</v>
      </c>
    </row>
    <row r="51" spans="1:32">
      <c r="A51" s="168">
        <v>2082</v>
      </c>
      <c r="B51" s="2">
        <v>143086</v>
      </c>
      <c r="C51" s="2" t="s">
        <v>255</v>
      </c>
      <c r="D51" s="30"/>
      <c r="E51" s="174">
        <v>0</v>
      </c>
      <c r="F51" s="174">
        <v>0</v>
      </c>
      <c r="G51" s="174">
        <v>0</v>
      </c>
      <c r="H51" s="174">
        <f t="shared" si="0"/>
        <v>0</v>
      </c>
      <c r="I51" s="226"/>
      <c r="J51" s="174">
        <v>0</v>
      </c>
      <c r="K51" s="174">
        <v>0</v>
      </c>
      <c r="L51" s="174">
        <v>0</v>
      </c>
      <c r="M51" s="174"/>
      <c r="N51" s="221"/>
      <c r="O51" s="198"/>
      <c r="P51" s="198">
        <v>0</v>
      </c>
      <c r="Q51" s="198">
        <v>0</v>
      </c>
      <c r="R51" s="199">
        <f t="shared" si="1"/>
        <v>0</v>
      </c>
      <c r="U51" s="199"/>
      <c r="V51" s="199">
        <v>0</v>
      </c>
      <c r="W51" s="291"/>
      <c r="X51" s="291"/>
      <c r="Y51" s="291"/>
      <c r="Z51" s="291"/>
      <c r="AA51" s="291">
        <v>0</v>
      </c>
      <c r="AB51" s="291">
        <v>0</v>
      </c>
      <c r="AC51" s="291">
        <v>0</v>
      </c>
      <c r="AE51" s="176">
        <f t="shared" si="2"/>
        <v>0</v>
      </c>
      <c r="AF51" s="176">
        <f t="shared" si="2"/>
        <v>0</v>
      </c>
    </row>
    <row r="52" spans="1:32">
      <c r="A52" s="168">
        <v>2299</v>
      </c>
      <c r="B52" s="2">
        <v>140706</v>
      </c>
      <c r="C52" s="2" t="s">
        <v>256</v>
      </c>
      <c r="D52" s="30"/>
      <c r="E52" s="174">
        <v>0</v>
      </c>
      <c r="F52" s="174">
        <v>0</v>
      </c>
      <c r="G52" s="174">
        <v>0</v>
      </c>
      <c r="H52" s="174">
        <f t="shared" si="0"/>
        <v>0</v>
      </c>
      <c r="I52" s="226"/>
      <c r="J52" s="174">
        <v>0</v>
      </c>
      <c r="K52" s="174">
        <v>0</v>
      </c>
      <c r="L52" s="174">
        <v>0</v>
      </c>
      <c r="M52" s="174"/>
      <c r="N52" s="221"/>
      <c r="O52" s="198"/>
      <c r="P52" s="198">
        <v>0</v>
      </c>
      <c r="Q52" s="198">
        <v>0</v>
      </c>
      <c r="R52" s="199">
        <f t="shared" si="1"/>
        <v>0</v>
      </c>
      <c r="U52" s="199"/>
      <c r="V52" s="199">
        <v>0</v>
      </c>
      <c r="W52" s="291"/>
      <c r="X52" s="291"/>
      <c r="Y52" s="291"/>
      <c r="Z52" s="291"/>
      <c r="AA52" s="291">
        <v>0</v>
      </c>
      <c r="AB52" s="291">
        <v>0</v>
      </c>
      <c r="AC52" s="291">
        <v>0</v>
      </c>
      <c r="AE52" s="176">
        <f t="shared" si="2"/>
        <v>0</v>
      </c>
      <c r="AF52" s="176">
        <f t="shared" si="2"/>
        <v>0</v>
      </c>
    </row>
    <row r="53" spans="1:32">
      <c r="A53" s="168">
        <v>2191</v>
      </c>
      <c r="B53" s="2">
        <v>151017</v>
      </c>
      <c r="C53" s="2" t="s">
        <v>149</v>
      </c>
      <c r="D53" s="30"/>
      <c r="E53" s="174">
        <v>0</v>
      </c>
      <c r="F53" s="174">
        <v>0</v>
      </c>
      <c r="G53" s="174">
        <v>0</v>
      </c>
      <c r="H53" s="174">
        <f t="shared" si="0"/>
        <v>0</v>
      </c>
      <c r="I53" s="226"/>
      <c r="J53" s="174">
        <v>0</v>
      </c>
      <c r="K53" s="174">
        <v>0</v>
      </c>
      <c r="L53" s="174">
        <v>0</v>
      </c>
      <c r="M53" s="174"/>
      <c r="N53" s="221"/>
      <c r="O53" s="198"/>
      <c r="P53" s="198">
        <v>0</v>
      </c>
      <c r="Q53" s="198">
        <v>0</v>
      </c>
      <c r="R53" s="199">
        <f t="shared" si="1"/>
        <v>0</v>
      </c>
      <c r="U53" s="199"/>
      <c r="V53" s="199">
        <v>0</v>
      </c>
      <c r="W53" s="291"/>
      <c r="X53" s="291"/>
      <c r="Y53" s="291"/>
      <c r="Z53" s="291"/>
      <c r="AA53" s="291">
        <v>0</v>
      </c>
      <c r="AB53" s="291">
        <v>0</v>
      </c>
      <c r="AC53" s="291">
        <v>0</v>
      </c>
      <c r="AE53" s="176">
        <f t="shared" si="2"/>
        <v>0</v>
      </c>
      <c r="AF53" s="176">
        <f t="shared" si="2"/>
        <v>0</v>
      </c>
    </row>
    <row r="54" spans="1:32">
      <c r="A54" s="168">
        <v>2060</v>
      </c>
      <c r="B54" s="2">
        <v>143563</v>
      </c>
      <c r="C54" s="2" t="s">
        <v>257</v>
      </c>
      <c r="D54" s="30"/>
      <c r="E54" s="174">
        <v>0</v>
      </c>
      <c r="F54" s="174">
        <v>0</v>
      </c>
      <c r="G54" s="174">
        <v>0</v>
      </c>
      <c r="H54" s="174">
        <f t="shared" si="0"/>
        <v>0</v>
      </c>
      <c r="I54" s="226"/>
      <c r="J54" s="174">
        <v>0</v>
      </c>
      <c r="K54" s="174">
        <v>0</v>
      </c>
      <c r="L54" s="174">
        <v>0</v>
      </c>
      <c r="M54" s="174"/>
      <c r="N54" s="221"/>
      <c r="O54" s="198"/>
      <c r="P54" s="198">
        <v>0</v>
      </c>
      <c r="Q54" s="198">
        <v>0</v>
      </c>
      <c r="R54" s="199">
        <f t="shared" si="1"/>
        <v>0</v>
      </c>
      <c r="U54" s="199"/>
      <c r="V54" s="199">
        <v>0</v>
      </c>
      <c r="W54" s="291"/>
      <c r="X54" s="291"/>
      <c r="Y54" s="291"/>
      <c r="Z54" s="291"/>
      <c r="AA54" s="291">
        <v>0</v>
      </c>
      <c r="AB54" s="291">
        <v>0</v>
      </c>
      <c r="AC54" s="291">
        <v>0</v>
      </c>
      <c r="AE54" s="176">
        <f t="shared" si="2"/>
        <v>0</v>
      </c>
      <c r="AF54" s="176">
        <f t="shared" si="2"/>
        <v>0</v>
      </c>
    </row>
    <row r="55" spans="1:32">
      <c r="A55" s="168">
        <v>4129</v>
      </c>
      <c r="B55" s="2">
        <v>143438</v>
      </c>
      <c r="C55" s="2" t="s">
        <v>258</v>
      </c>
      <c r="D55" s="30"/>
      <c r="E55" s="174">
        <v>0</v>
      </c>
      <c r="F55" s="174">
        <v>0</v>
      </c>
      <c r="G55" s="174">
        <v>0</v>
      </c>
      <c r="H55" s="174">
        <f t="shared" si="0"/>
        <v>0</v>
      </c>
      <c r="I55" s="226"/>
      <c r="J55" s="174">
        <v>0</v>
      </c>
      <c r="K55" s="174">
        <v>0</v>
      </c>
      <c r="L55" s="174">
        <v>0</v>
      </c>
      <c r="M55" s="174"/>
      <c r="N55" s="221"/>
      <c r="O55" s="198"/>
      <c r="P55" s="198">
        <v>0</v>
      </c>
      <c r="Q55" s="198">
        <v>0</v>
      </c>
      <c r="R55" s="199">
        <f t="shared" si="1"/>
        <v>0</v>
      </c>
      <c r="U55" s="199"/>
      <c r="V55" s="199">
        <v>0</v>
      </c>
      <c r="W55" s="291"/>
      <c r="X55" s="291"/>
      <c r="Y55" s="291"/>
      <c r="Z55" s="291"/>
      <c r="AA55" s="291">
        <v>0</v>
      </c>
      <c r="AB55" s="291">
        <v>0</v>
      </c>
      <c r="AC55" s="291">
        <v>0</v>
      </c>
      <c r="AE55" s="176">
        <f t="shared" si="2"/>
        <v>0</v>
      </c>
      <c r="AF55" s="176">
        <f t="shared" si="2"/>
        <v>0</v>
      </c>
    </row>
    <row r="56" spans="1:32">
      <c r="A56" s="168">
        <v>2219</v>
      </c>
      <c r="B56" s="2">
        <v>150709</v>
      </c>
      <c r="C56" s="2" t="s">
        <v>150</v>
      </c>
      <c r="D56" s="30"/>
      <c r="E56" s="174">
        <v>0</v>
      </c>
      <c r="F56" s="174">
        <v>0</v>
      </c>
      <c r="G56" s="174">
        <v>0</v>
      </c>
      <c r="H56" s="174">
        <f t="shared" si="0"/>
        <v>0</v>
      </c>
      <c r="I56" s="226"/>
      <c r="J56" s="174">
        <v>0</v>
      </c>
      <c r="K56" s="174">
        <v>0</v>
      </c>
      <c r="L56" s="174">
        <v>0</v>
      </c>
      <c r="M56" s="174"/>
      <c r="N56" s="221"/>
      <c r="O56" s="198"/>
      <c r="P56" s="198">
        <v>0</v>
      </c>
      <c r="Q56" s="198">
        <v>0</v>
      </c>
      <c r="R56" s="199">
        <f t="shared" si="1"/>
        <v>0</v>
      </c>
      <c r="U56" s="199"/>
      <c r="V56" s="199">
        <v>0</v>
      </c>
      <c r="W56" s="291"/>
      <c r="X56" s="291"/>
      <c r="Y56" s="291"/>
      <c r="Z56" s="291"/>
      <c r="AA56" s="291">
        <v>0</v>
      </c>
      <c r="AB56" s="291">
        <v>0</v>
      </c>
      <c r="AC56" s="291">
        <v>0</v>
      </c>
      <c r="AE56" s="176">
        <f t="shared" si="2"/>
        <v>0</v>
      </c>
      <c r="AF56" s="176">
        <f t="shared" si="2"/>
        <v>0</v>
      </c>
    </row>
    <row r="57" spans="1:32">
      <c r="A57" s="168">
        <v>2065</v>
      </c>
      <c r="B57" s="2">
        <v>138218</v>
      </c>
      <c r="C57" s="2" t="s">
        <v>259</v>
      </c>
      <c r="D57" s="30"/>
      <c r="E57" s="174">
        <v>0</v>
      </c>
      <c r="F57" s="174">
        <v>0</v>
      </c>
      <c r="G57" s="174">
        <v>0</v>
      </c>
      <c r="H57" s="174">
        <f t="shared" si="0"/>
        <v>0</v>
      </c>
      <c r="I57" s="226"/>
      <c r="J57" s="174">
        <v>0</v>
      </c>
      <c r="K57" s="174">
        <v>0</v>
      </c>
      <c r="L57" s="174">
        <v>0</v>
      </c>
      <c r="M57" s="174"/>
      <c r="N57" s="221"/>
      <c r="O57" s="198"/>
      <c r="P57" s="198">
        <v>0</v>
      </c>
      <c r="Q57" s="198">
        <v>0</v>
      </c>
      <c r="R57" s="199">
        <f t="shared" si="1"/>
        <v>0</v>
      </c>
      <c r="U57" s="199"/>
      <c r="V57" s="199">
        <v>0</v>
      </c>
      <c r="W57" s="291"/>
      <c r="X57" s="291"/>
      <c r="Y57" s="291"/>
      <c r="Z57" s="291"/>
      <c r="AA57" s="291">
        <v>0</v>
      </c>
      <c r="AB57" s="291">
        <v>0</v>
      </c>
      <c r="AC57" s="291">
        <v>0</v>
      </c>
      <c r="AE57" s="176">
        <f t="shared" si="2"/>
        <v>0</v>
      </c>
      <c r="AF57" s="176">
        <f t="shared" si="2"/>
        <v>0</v>
      </c>
    </row>
    <row r="58" spans="1:32">
      <c r="A58" s="168">
        <v>6905</v>
      </c>
      <c r="B58" s="2">
        <v>135907</v>
      </c>
      <c r="C58" s="2" t="s">
        <v>260</v>
      </c>
      <c r="D58" s="30"/>
      <c r="E58" s="174">
        <v>0</v>
      </c>
      <c r="F58" s="174">
        <v>0</v>
      </c>
      <c r="G58" s="174">
        <v>0</v>
      </c>
      <c r="H58" s="174">
        <f t="shared" si="0"/>
        <v>0</v>
      </c>
      <c r="I58" s="226"/>
      <c r="J58" s="174">
        <v>0</v>
      </c>
      <c r="K58" s="174">
        <v>0</v>
      </c>
      <c r="L58" s="174">
        <v>0</v>
      </c>
      <c r="M58" s="174"/>
      <c r="N58" s="221"/>
      <c r="O58" s="198"/>
      <c r="P58" s="198">
        <v>0</v>
      </c>
      <c r="Q58" s="198">
        <v>0</v>
      </c>
      <c r="R58" s="199">
        <f t="shared" si="1"/>
        <v>0</v>
      </c>
      <c r="U58" s="199"/>
      <c r="V58" s="199">
        <v>0</v>
      </c>
      <c r="W58" s="291"/>
      <c r="X58" s="291"/>
      <c r="Y58" s="291"/>
      <c r="Z58" s="291"/>
      <c r="AA58" s="291">
        <v>0</v>
      </c>
      <c r="AB58" s="291">
        <v>0</v>
      </c>
      <c r="AC58" s="291">
        <v>0</v>
      </c>
      <c r="AE58" s="176">
        <f t="shared" si="2"/>
        <v>0</v>
      </c>
      <c r="AF58" s="176">
        <f t="shared" si="2"/>
        <v>0</v>
      </c>
    </row>
    <row r="59" spans="1:32">
      <c r="A59" s="168">
        <v>2048</v>
      </c>
      <c r="B59" s="2">
        <v>138396</v>
      </c>
      <c r="C59" s="2" t="s">
        <v>261</v>
      </c>
      <c r="D59" s="30"/>
      <c r="E59" s="174">
        <v>0</v>
      </c>
      <c r="F59" s="174">
        <v>0</v>
      </c>
      <c r="G59" s="174">
        <v>0</v>
      </c>
      <c r="H59" s="174">
        <f t="shared" si="0"/>
        <v>0</v>
      </c>
      <c r="I59" s="226"/>
      <c r="J59" s="174">
        <v>0</v>
      </c>
      <c r="K59" s="174">
        <v>0</v>
      </c>
      <c r="L59" s="174">
        <v>0</v>
      </c>
      <c r="M59" s="174"/>
      <c r="N59" s="221"/>
      <c r="O59" s="198"/>
      <c r="P59" s="198">
        <v>0</v>
      </c>
      <c r="Q59" s="198">
        <v>0</v>
      </c>
      <c r="R59" s="199">
        <f t="shared" si="1"/>
        <v>0</v>
      </c>
      <c r="U59" s="199"/>
      <c r="V59" s="199">
        <v>0</v>
      </c>
      <c r="W59" s="291"/>
      <c r="X59" s="291"/>
      <c r="Y59" s="291"/>
      <c r="Z59" s="291"/>
      <c r="AA59" s="291">
        <v>0</v>
      </c>
      <c r="AB59" s="291">
        <v>0</v>
      </c>
      <c r="AC59" s="291">
        <v>0</v>
      </c>
      <c r="AE59" s="176">
        <f t="shared" si="2"/>
        <v>0</v>
      </c>
      <c r="AF59" s="176">
        <f t="shared" si="2"/>
        <v>0</v>
      </c>
    </row>
    <row r="60" spans="1:32">
      <c r="A60" s="168">
        <v>6909</v>
      </c>
      <c r="B60" s="2">
        <v>136032</v>
      </c>
      <c r="C60" s="2" t="s">
        <v>262</v>
      </c>
      <c r="D60" s="30"/>
      <c r="E60" s="174">
        <v>0</v>
      </c>
      <c r="F60" s="174">
        <v>0</v>
      </c>
      <c r="G60" s="174">
        <v>0</v>
      </c>
      <c r="H60" s="174">
        <f t="shared" si="0"/>
        <v>0</v>
      </c>
      <c r="I60" s="226"/>
      <c r="J60" s="174">
        <v>0</v>
      </c>
      <c r="K60" s="174">
        <v>0</v>
      </c>
      <c r="L60" s="174">
        <v>0</v>
      </c>
      <c r="M60" s="174"/>
      <c r="N60" s="221"/>
      <c r="O60" s="198"/>
      <c r="P60" s="198">
        <v>0</v>
      </c>
      <c r="Q60" s="198">
        <v>0</v>
      </c>
      <c r="R60" s="199">
        <f t="shared" si="1"/>
        <v>0</v>
      </c>
      <c r="U60" s="199"/>
      <c r="V60" s="199">
        <v>0</v>
      </c>
      <c r="W60" s="291"/>
      <c r="X60" s="291"/>
      <c r="Y60" s="291"/>
      <c r="Z60" s="291"/>
      <c r="AA60" s="291">
        <v>0</v>
      </c>
      <c r="AB60" s="291">
        <v>0</v>
      </c>
      <c r="AC60" s="291">
        <v>0</v>
      </c>
      <c r="AE60" s="176">
        <f t="shared" si="2"/>
        <v>0</v>
      </c>
      <c r="AF60" s="176">
        <f t="shared" si="2"/>
        <v>0</v>
      </c>
    </row>
    <row r="61" spans="1:32">
      <c r="A61" s="168">
        <v>6907</v>
      </c>
      <c r="B61" s="2">
        <v>135911</v>
      </c>
      <c r="C61" s="2" t="s">
        <v>263</v>
      </c>
      <c r="D61" s="30"/>
      <c r="E61" s="174">
        <v>0</v>
      </c>
      <c r="F61" s="174">
        <v>0</v>
      </c>
      <c r="G61" s="174">
        <v>0</v>
      </c>
      <c r="H61" s="174">
        <f t="shared" si="0"/>
        <v>0</v>
      </c>
      <c r="I61" s="226"/>
      <c r="J61" s="174">
        <v>0</v>
      </c>
      <c r="K61" s="174">
        <v>0</v>
      </c>
      <c r="L61" s="174">
        <v>0</v>
      </c>
      <c r="M61" s="174"/>
      <c r="N61" s="221"/>
      <c r="O61" s="198"/>
      <c r="P61" s="198">
        <v>0</v>
      </c>
      <c r="Q61" s="198">
        <v>0</v>
      </c>
      <c r="R61" s="199">
        <f t="shared" si="1"/>
        <v>0</v>
      </c>
      <c r="U61" s="199"/>
      <c r="V61" s="199">
        <v>0</v>
      </c>
      <c r="W61" s="291"/>
      <c r="X61" s="291"/>
      <c r="Y61" s="291"/>
      <c r="Z61" s="291"/>
      <c r="AA61" s="291">
        <v>0</v>
      </c>
      <c r="AB61" s="291">
        <v>0</v>
      </c>
      <c r="AC61" s="291">
        <v>0</v>
      </c>
      <c r="AE61" s="176">
        <f t="shared" si="2"/>
        <v>0</v>
      </c>
      <c r="AF61" s="176">
        <f t="shared" si="2"/>
        <v>0</v>
      </c>
    </row>
    <row r="62" spans="1:32">
      <c r="A62" s="168">
        <v>1105</v>
      </c>
      <c r="B62" s="2">
        <v>138775</v>
      </c>
      <c r="C62" s="2" t="s">
        <v>264</v>
      </c>
      <c r="D62" s="30"/>
      <c r="E62" s="174">
        <v>0</v>
      </c>
      <c r="F62" s="174">
        <v>0</v>
      </c>
      <c r="G62" s="174">
        <v>0</v>
      </c>
      <c r="H62" s="174">
        <f t="shared" si="0"/>
        <v>0</v>
      </c>
      <c r="I62" s="226"/>
      <c r="J62" s="174">
        <v>0</v>
      </c>
      <c r="K62" s="174">
        <v>0</v>
      </c>
      <c r="L62" s="174">
        <v>0</v>
      </c>
      <c r="M62" s="174"/>
      <c r="N62" s="221"/>
      <c r="O62" s="198"/>
      <c r="P62" s="198">
        <v>0</v>
      </c>
      <c r="Q62" s="198">
        <v>0</v>
      </c>
      <c r="R62" s="199">
        <f t="shared" si="1"/>
        <v>0</v>
      </c>
      <c r="U62" s="199"/>
      <c r="V62" s="199">
        <v>0</v>
      </c>
      <c r="W62" s="291"/>
      <c r="X62" s="291"/>
      <c r="Y62" s="291"/>
      <c r="Z62" s="291"/>
      <c r="AA62" s="291">
        <v>0</v>
      </c>
      <c r="AB62" s="291">
        <v>0</v>
      </c>
      <c r="AC62" s="291">
        <v>0</v>
      </c>
      <c r="AE62" s="176">
        <f t="shared" si="2"/>
        <v>0</v>
      </c>
      <c r="AF62" s="176">
        <f t="shared" si="2"/>
        <v>0</v>
      </c>
    </row>
    <row r="63" spans="1:32">
      <c r="A63" s="168">
        <v>1110</v>
      </c>
      <c r="B63" s="2">
        <v>141739</v>
      </c>
      <c r="C63" s="2" t="s">
        <v>265</v>
      </c>
      <c r="D63" s="30"/>
      <c r="E63" s="174">
        <v>0</v>
      </c>
      <c r="F63" s="174">
        <v>0</v>
      </c>
      <c r="G63" s="174">
        <v>0</v>
      </c>
      <c r="H63" s="174">
        <f t="shared" si="0"/>
        <v>0</v>
      </c>
      <c r="I63" s="226"/>
      <c r="J63" s="174">
        <v>0</v>
      </c>
      <c r="K63" s="174">
        <v>0</v>
      </c>
      <c r="L63" s="174">
        <v>0</v>
      </c>
      <c r="M63" s="174"/>
      <c r="N63" s="221"/>
      <c r="O63" s="198"/>
      <c r="P63" s="198">
        <v>0</v>
      </c>
      <c r="Q63" s="198">
        <v>0</v>
      </c>
      <c r="R63" s="199">
        <f t="shared" si="1"/>
        <v>0</v>
      </c>
      <c r="U63" s="199"/>
      <c r="V63" s="199">
        <v>0</v>
      </c>
      <c r="W63" s="291"/>
      <c r="X63" s="291"/>
      <c r="Y63" s="291"/>
      <c r="Z63" s="291"/>
      <c r="AA63" s="291">
        <v>0</v>
      </c>
      <c r="AB63" s="291">
        <v>0</v>
      </c>
      <c r="AC63" s="291">
        <v>0</v>
      </c>
      <c r="AE63" s="176">
        <f t="shared" si="2"/>
        <v>0</v>
      </c>
      <c r="AF63" s="176">
        <f t="shared" si="2"/>
        <v>0</v>
      </c>
    </row>
    <row r="64" spans="1:32">
      <c r="A64" s="168">
        <v>4032</v>
      </c>
      <c r="B64" s="2">
        <v>145878</v>
      </c>
      <c r="C64" s="2" t="s">
        <v>266</v>
      </c>
      <c r="D64" s="30"/>
      <c r="E64" s="174">
        <v>0</v>
      </c>
      <c r="F64" s="174">
        <v>0</v>
      </c>
      <c r="G64" s="174">
        <v>0</v>
      </c>
      <c r="H64" s="174">
        <f t="shared" si="0"/>
        <v>0</v>
      </c>
      <c r="I64" s="226"/>
      <c r="J64" s="174">
        <v>0</v>
      </c>
      <c r="K64" s="174">
        <v>0</v>
      </c>
      <c r="L64" s="174">
        <v>0</v>
      </c>
      <c r="M64" s="174"/>
      <c r="N64" s="221"/>
      <c r="O64" s="198"/>
      <c r="P64" s="198">
        <v>0</v>
      </c>
      <c r="Q64" s="198">
        <v>0</v>
      </c>
      <c r="R64" s="199">
        <f t="shared" si="1"/>
        <v>0</v>
      </c>
      <c r="U64" s="199"/>
      <c r="V64" s="199">
        <v>0</v>
      </c>
      <c r="W64" s="291"/>
      <c r="X64" s="291"/>
      <c r="Y64" s="291"/>
      <c r="Z64" s="291"/>
      <c r="AA64" s="291">
        <v>0</v>
      </c>
      <c r="AB64" s="291">
        <v>0</v>
      </c>
      <c r="AC64" s="291">
        <v>0</v>
      </c>
      <c r="AE64" s="176">
        <f t="shared" si="2"/>
        <v>0</v>
      </c>
      <c r="AF64" s="176">
        <f t="shared" si="2"/>
        <v>0</v>
      </c>
    </row>
    <row r="65" spans="1:32">
      <c r="A65" s="168">
        <v>4021</v>
      </c>
      <c r="B65" s="2">
        <v>141969</v>
      </c>
      <c r="C65" s="2" t="s">
        <v>267</v>
      </c>
      <c r="D65" s="30"/>
      <c r="E65" s="174">
        <v>0</v>
      </c>
      <c r="F65" s="174">
        <v>0</v>
      </c>
      <c r="G65" s="174">
        <v>0</v>
      </c>
      <c r="H65" s="174">
        <f t="shared" si="0"/>
        <v>0</v>
      </c>
      <c r="I65" s="226"/>
      <c r="J65" s="174">
        <v>0</v>
      </c>
      <c r="K65" s="174">
        <v>0</v>
      </c>
      <c r="L65" s="174">
        <v>0</v>
      </c>
      <c r="M65" s="174"/>
      <c r="N65" s="221"/>
      <c r="O65" s="198"/>
      <c r="P65" s="198">
        <v>0</v>
      </c>
      <c r="Q65" s="198">
        <v>0</v>
      </c>
      <c r="R65" s="199">
        <f t="shared" si="1"/>
        <v>0</v>
      </c>
      <c r="U65" s="199"/>
      <c r="V65" s="199">
        <v>0</v>
      </c>
      <c r="W65" s="291"/>
      <c r="X65" s="291"/>
      <c r="Y65" s="291"/>
      <c r="Z65" s="291"/>
      <c r="AA65" s="291">
        <v>0</v>
      </c>
      <c r="AB65" s="291">
        <v>0</v>
      </c>
      <c r="AC65" s="291">
        <v>0</v>
      </c>
      <c r="AE65" s="176">
        <f t="shared" si="2"/>
        <v>0</v>
      </c>
      <c r="AF65" s="176">
        <f t="shared" si="2"/>
        <v>0</v>
      </c>
    </row>
    <row r="66" spans="1:32">
      <c r="A66" s="168">
        <v>4035</v>
      </c>
      <c r="B66" s="2">
        <v>147201</v>
      </c>
      <c r="C66" s="2" t="s">
        <v>268</v>
      </c>
      <c r="D66" s="30"/>
      <c r="E66" s="174">
        <v>0</v>
      </c>
      <c r="F66" s="174">
        <v>0</v>
      </c>
      <c r="G66" s="174">
        <v>0</v>
      </c>
      <c r="H66" s="174">
        <f t="shared" si="0"/>
        <v>0</v>
      </c>
      <c r="I66" s="226"/>
      <c r="J66" s="174">
        <v>0</v>
      </c>
      <c r="K66" s="174">
        <v>0</v>
      </c>
      <c r="L66" s="174">
        <v>0</v>
      </c>
      <c r="M66" s="174"/>
      <c r="N66" s="221"/>
      <c r="O66" s="198"/>
      <c r="P66" s="198">
        <v>0</v>
      </c>
      <c r="Q66" s="198">
        <v>0</v>
      </c>
      <c r="R66" s="199">
        <f t="shared" si="1"/>
        <v>0</v>
      </c>
      <c r="U66" s="199"/>
      <c r="V66" s="199">
        <v>0</v>
      </c>
      <c r="W66" s="291"/>
      <c r="X66" s="291"/>
      <c r="Y66" s="291"/>
      <c r="Z66" s="291"/>
      <c r="AA66" s="291">
        <v>0</v>
      </c>
      <c r="AB66" s="291">
        <v>0</v>
      </c>
      <c r="AC66" s="291">
        <v>0</v>
      </c>
      <c r="AE66" s="176">
        <f t="shared" si="2"/>
        <v>0</v>
      </c>
      <c r="AF66" s="176">
        <f t="shared" si="2"/>
        <v>0</v>
      </c>
    </row>
    <row r="67" spans="1:32">
      <c r="A67" s="168">
        <v>2168</v>
      </c>
      <c r="B67" s="2">
        <v>143413</v>
      </c>
      <c r="C67" s="2" t="s">
        <v>269</v>
      </c>
      <c r="D67" s="30"/>
      <c r="E67" s="174">
        <v>0</v>
      </c>
      <c r="F67" s="174">
        <v>0</v>
      </c>
      <c r="G67" s="174">
        <v>0</v>
      </c>
      <c r="H67" s="174">
        <f t="shared" si="0"/>
        <v>0</v>
      </c>
      <c r="I67" s="226"/>
      <c r="J67" s="174">
        <v>0</v>
      </c>
      <c r="K67" s="174">
        <v>0</v>
      </c>
      <c r="L67" s="174">
        <v>0</v>
      </c>
      <c r="M67" s="174"/>
      <c r="N67" s="221"/>
      <c r="O67" s="198"/>
      <c r="P67" s="198">
        <v>0</v>
      </c>
      <c r="Q67" s="198">
        <v>0</v>
      </c>
      <c r="R67" s="199">
        <f t="shared" si="1"/>
        <v>0</v>
      </c>
      <c r="U67" s="199"/>
      <c r="V67" s="199">
        <v>0</v>
      </c>
      <c r="W67" s="291"/>
      <c r="X67" s="291"/>
      <c r="Y67" s="291"/>
      <c r="Z67" s="291"/>
      <c r="AA67" s="291">
        <v>0</v>
      </c>
      <c r="AB67" s="291">
        <v>0</v>
      </c>
      <c r="AC67" s="291">
        <v>0</v>
      </c>
      <c r="AE67" s="176">
        <f t="shared" si="2"/>
        <v>0</v>
      </c>
      <c r="AF67" s="176">
        <f t="shared" si="2"/>
        <v>0</v>
      </c>
    </row>
    <row r="68" spans="1:32">
      <c r="A68" s="168">
        <v>2036</v>
      </c>
      <c r="B68" s="2">
        <v>138194</v>
      </c>
      <c r="C68" s="2" t="s">
        <v>270</v>
      </c>
      <c r="D68" s="30"/>
      <c r="E68" s="174">
        <v>0</v>
      </c>
      <c r="F68" s="174">
        <v>0</v>
      </c>
      <c r="G68" s="174">
        <v>0</v>
      </c>
      <c r="H68" s="174">
        <f t="shared" si="0"/>
        <v>0</v>
      </c>
      <c r="I68" s="226"/>
      <c r="J68" s="174">
        <v>0</v>
      </c>
      <c r="K68" s="174">
        <v>0</v>
      </c>
      <c r="L68" s="174">
        <v>0</v>
      </c>
      <c r="M68" s="174"/>
      <c r="N68" s="221"/>
      <c r="O68" s="198"/>
      <c r="P68" s="198">
        <v>0</v>
      </c>
      <c r="Q68" s="198">
        <v>0</v>
      </c>
      <c r="R68" s="199">
        <f t="shared" si="1"/>
        <v>0</v>
      </c>
      <c r="U68" s="199"/>
      <c r="V68" s="199">
        <v>0</v>
      </c>
      <c r="W68" s="291"/>
      <c r="X68" s="291"/>
      <c r="Y68" s="291"/>
      <c r="Z68" s="291"/>
      <c r="AA68" s="291">
        <v>0</v>
      </c>
      <c r="AB68" s="291">
        <v>0</v>
      </c>
      <c r="AC68" s="291">
        <v>0</v>
      </c>
      <c r="AE68" s="176">
        <f t="shared" si="2"/>
        <v>0</v>
      </c>
      <c r="AF68" s="176">
        <f t="shared" si="2"/>
        <v>0</v>
      </c>
    </row>
    <row r="69" spans="1:32">
      <c r="A69" s="168">
        <v>5410</v>
      </c>
      <c r="B69" s="2">
        <v>136908</v>
      </c>
      <c r="C69" s="2" t="s">
        <v>271</v>
      </c>
      <c r="D69" s="30"/>
      <c r="E69" s="174">
        <v>0</v>
      </c>
      <c r="F69" s="174">
        <v>0</v>
      </c>
      <c r="G69" s="174">
        <v>0</v>
      </c>
      <c r="H69" s="174">
        <f t="shared" si="0"/>
        <v>0</v>
      </c>
      <c r="I69" s="226"/>
      <c r="J69" s="174">
        <v>0</v>
      </c>
      <c r="K69" s="174">
        <v>0</v>
      </c>
      <c r="L69" s="174">
        <v>0</v>
      </c>
      <c r="M69" s="174"/>
      <c r="N69" s="221"/>
      <c r="O69" s="198"/>
      <c r="P69" s="198">
        <v>204359.13</v>
      </c>
      <c r="Q69" s="198">
        <v>-6666.666666666667</v>
      </c>
      <c r="R69" s="199">
        <f t="shared" si="1"/>
        <v>197692.46333333335</v>
      </c>
      <c r="U69" s="199"/>
      <c r="V69" s="199">
        <v>0</v>
      </c>
      <c r="W69" s="291"/>
      <c r="X69" s="291"/>
      <c r="Y69" s="291"/>
      <c r="Z69" s="291"/>
      <c r="AA69" s="291">
        <v>0</v>
      </c>
      <c r="AB69" s="291">
        <v>0</v>
      </c>
      <c r="AC69" s="291">
        <v>-74250.88967993074</v>
      </c>
      <c r="AE69" s="176">
        <f t="shared" si="2"/>
        <v>-6666.666666666667</v>
      </c>
      <c r="AF69" s="176">
        <f t="shared" si="2"/>
        <v>130108.24032006926</v>
      </c>
    </row>
    <row r="70" spans="1:32">
      <c r="A70" s="168">
        <v>2310</v>
      </c>
      <c r="B70" s="2">
        <v>139484</v>
      </c>
      <c r="C70" s="2" t="s">
        <v>272</v>
      </c>
      <c r="D70" s="30"/>
      <c r="E70" s="174">
        <v>0</v>
      </c>
      <c r="F70" s="174">
        <v>0</v>
      </c>
      <c r="G70" s="174">
        <v>0</v>
      </c>
      <c r="H70" s="174">
        <f t="shared" si="0"/>
        <v>0</v>
      </c>
      <c r="I70" s="226"/>
      <c r="J70" s="174">
        <v>0</v>
      </c>
      <c r="K70" s="174">
        <v>0</v>
      </c>
      <c r="L70" s="174">
        <v>0</v>
      </c>
      <c r="M70" s="174"/>
      <c r="N70" s="221"/>
      <c r="O70" s="198"/>
      <c r="P70" s="198">
        <v>0</v>
      </c>
      <c r="Q70" s="198">
        <v>0</v>
      </c>
      <c r="R70" s="199">
        <f t="shared" si="1"/>
        <v>0</v>
      </c>
      <c r="U70" s="199"/>
      <c r="V70" s="199">
        <v>0</v>
      </c>
      <c r="W70" s="291"/>
      <c r="X70" s="291"/>
      <c r="Y70" s="291"/>
      <c r="Z70" s="291"/>
      <c r="AA70" s="291">
        <v>0</v>
      </c>
      <c r="AB70" s="291">
        <v>0</v>
      </c>
      <c r="AC70" s="291">
        <v>0</v>
      </c>
      <c r="AE70" s="176">
        <f t="shared" si="2"/>
        <v>0</v>
      </c>
      <c r="AF70" s="176">
        <f t="shared" si="2"/>
        <v>0</v>
      </c>
    </row>
    <row r="71" spans="1:32">
      <c r="A71" s="168">
        <v>2475</v>
      </c>
      <c r="B71" s="2">
        <v>143089</v>
      </c>
      <c r="C71" s="2" t="s">
        <v>273</v>
      </c>
      <c r="D71" s="30"/>
      <c r="E71" s="174">
        <v>0</v>
      </c>
      <c r="F71" s="174">
        <v>0</v>
      </c>
      <c r="G71" s="174">
        <v>0</v>
      </c>
      <c r="H71" s="174">
        <f t="shared" si="0"/>
        <v>0</v>
      </c>
      <c r="I71" s="226"/>
      <c r="J71" s="174">
        <v>0</v>
      </c>
      <c r="K71" s="174">
        <v>0</v>
      </c>
      <c r="L71" s="174">
        <v>0</v>
      </c>
      <c r="M71" s="174"/>
      <c r="N71" s="221"/>
      <c r="O71" s="198"/>
      <c r="P71" s="198">
        <v>0</v>
      </c>
      <c r="Q71" s="198">
        <v>0</v>
      </c>
      <c r="R71" s="199">
        <f t="shared" si="1"/>
        <v>0</v>
      </c>
      <c r="U71" s="199"/>
      <c r="V71" s="199">
        <v>0</v>
      </c>
      <c r="W71" s="291"/>
      <c r="X71" s="291"/>
      <c r="Y71" s="291"/>
      <c r="Z71" s="291"/>
      <c r="AA71" s="291">
        <v>0</v>
      </c>
      <c r="AB71" s="291">
        <v>0</v>
      </c>
      <c r="AC71" s="291">
        <v>0</v>
      </c>
      <c r="AE71" s="176">
        <f t="shared" si="2"/>
        <v>0</v>
      </c>
      <c r="AF71" s="176">
        <f t="shared" si="2"/>
        <v>0</v>
      </c>
    </row>
    <row r="72" spans="1:32">
      <c r="A72" s="168">
        <v>5403</v>
      </c>
      <c r="B72" s="2">
        <v>143435</v>
      </c>
      <c r="C72" s="2" t="s">
        <v>274</v>
      </c>
      <c r="D72" s="30"/>
      <c r="E72" s="174">
        <v>0</v>
      </c>
      <c r="F72" s="174">
        <v>0</v>
      </c>
      <c r="G72" s="174">
        <v>0</v>
      </c>
      <c r="H72" s="174">
        <f t="shared" si="0"/>
        <v>0</v>
      </c>
      <c r="I72" s="226"/>
      <c r="J72" s="174">
        <v>0</v>
      </c>
      <c r="K72" s="174">
        <v>0</v>
      </c>
      <c r="L72" s="174">
        <v>0</v>
      </c>
      <c r="M72" s="174"/>
      <c r="N72" s="221"/>
      <c r="O72" s="198"/>
      <c r="P72" s="198">
        <v>0</v>
      </c>
      <c r="Q72" s="198">
        <v>0</v>
      </c>
      <c r="R72" s="199">
        <f t="shared" si="1"/>
        <v>0</v>
      </c>
      <c r="U72" s="199"/>
      <c r="V72" s="199">
        <v>0</v>
      </c>
      <c r="W72" s="291"/>
      <c r="X72" s="291"/>
      <c r="Y72" s="291"/>
      <c r="Z72" s="291"/>
      <c r="AA72" s="291">
        <v>0</v>
      </c>
      <c r="AB72" s="291">
        <v>0</v>
      </c>
      <c r="AC72" s="291">
        <v>0</v>
      </c>
      <c r="AE72" s="176">
        <f t="shared" si="2"/>
        <v>0</v>
      </c>
      <c r="AF72" s="176">
        <f t="shared" si="2"/>
        <v>0</v>
      </c>
    </row>
    <row r="73" spans="1:32">
      <c r="A73" s="168">
        <v>4005</v>
      </c>
      <c r="B73" s="2">
        <v>139047</v>
      </c>
      <c r="C73" s="2" t="s">
        <v>275</v>
      </c>
      <c r="D73" s="30"/>
      <c r="E73" s="174">
        <v>0</v>
      </c>
      <c r="F73" s="174">
        <v>0</v>
      </c>
      <c r="G73" s="174">
        <v>0</v>
      </c>
      <c r="H73" s="174">
        <f t="shared" ref="H73:H136" si="3">E73+F73+G73</f>
        <v>0</v>
      </c>
      <c r="I73" s="226"/>
      <c r="J73" s="174">
        <v>0</v>
      </c>
      <c r="K73" s="174">
        <v>0</v>
      </c>
      <c r="L73" s="174">
        <v>0</v>
      </c>
      <c r="M73" s="174"/>
      <c r="N73" s="221"/>
      <c r="O73" s="198"/>
      <c r="P73" s="198">
        <v>0</v>
      </c>
      <c r="Q73" s="198">
        <v>0</v>
      </c>
      <c r="R73" s="199">
        <f t="shared" ref="R73:R136" si="4">O73+P73+Q73</f>
        <v>0</v>
      </c>
      <c r="U73" s="199"/>
      <c r="V73" s="199">
        <v>0</v>
      </c>
      <c r="W73" s="291"/>
      <c r="X73" s="291"/>
      <c r="Y73" s="291"/>
      <c r="Z73" s="291"/>
      <c r="AA73" s="291">
        <v>0</v>
      </c>
      <c r="AB73" s="291">
        <v>0</v>
      </c>
      <c r="AC73" s="291">
        <v>0</v>
      </c>
      <c r="AE73" s="176">
        <f t="shared" ref="AE73:AF104" si="5">SUMIFS($E73:$H73,$E$3:$H$3,AE$7)+SUMIFS($O73:$R73,$O$3:$R$3,AE$7)+SUMIFS($J73:$M73,$J$3:$M$3,AE$7)+SUMIFS($U73:$AC73,$U$3:$AC$3,AE$7)</f>
        <v>0</v>
      </c>
      <c r="AF73" s="176">
        <f t="shared" si="5"/>
        <v>0</v>
      </c>
    </row>
    <row r="74" spans="1:32">
      <c r="A74" s="168">
        <v>2109</v>
      </c>
      <c r="B74" s="2">
        <v>139131</v>
      </c>
      <c r="C74" s="2" t="s">
        <v>276</v>
      </c>
      <c r="D74" s="30"/>
      <c r="E74" s="174">
        <v>0</v>
      </c>
      <c r="F74" s="174">
        <v>0</v>
      </c>
      <c r="G74" s="174">
        <v>0</v>
      </c>
      <c r="H74" s="174">
        <f t="shared" si="3"/>
        <v>0</v>
      </c>
      <c r="I74" s="226"/>
      <c r="J74" s="174">
        <v>0</v>
      </c>
      <c r="K74" s="174">
        <v>0</v>
      </c>
      <c r="L74" s="174">
        <v>0</v>
      </c>
      <c r="M74" s="174"/>
      <c r="N74" s="221"/>
      <c r="O74" s="198"/>
      <c r="P74" s="198">
        <v>0</v>
      </c>
      <c r="Q74" s="198">
        <v>0</v>
      </c>
      <c r="R74" s="199">
        <f t="shared" si="4"/>
        <v>0</v>
      </c>
      <c r="U74" s="199"/>
      <c r="V74" s="199">
        <v>0</v>
      </c>
      <c r="W74" s="291"/>
      <c r="X74" s="291"/>
      <c r="Y74" s="291"/>
      <c r="Z74" s="291"/>
      <c r="AA74" s="291">
        <v>0</v>
      </c>
      <c r="AB74" s="291">
        <v>0</v>
      </c>
      <c r="AC74" s="291">
        <v>0</v>
      </c>
      <c r="AE74" s="176">
        <f t="shared" si="5"/>
        <v>0</v>
      </c>
      <c r="AF74" s="176">
        <f t="shared" si="5"/>
        <v>0</v>
      </c>
    </row>
    <row r="75" spans="1:32">
      <c r="A75" s="168">
        <v>5412</v>
      </c>
      <c r="B75" s="2">
        <v>138695</v>
      </c>
      <c r="C75" s="2" t="s">
        <v>277</v>
      </c>
      <c r="D75" s="30"/>
      <c r="E75" s="174">
        <v>0</v>
      </c>
      <c r="F75" s="174">
        <v>0</v>
      </c>
      <c r="G75" s="174">
        <v>0</v>
      </c>
      <c r="H75" s="174">
        <f t="shared" si="3"/>
        <v>0</v>
      </c>
      <c r="I75" s="226"/>
      <c r="J75" s="174">
        <v>0</v>
      </c>
      <c r="K75" s="174">
        <v>0</v>
      </c>
      <c r="L75" s="174">
        <v>0</v>
      </c>
      <c r="M75" s="174"/>
      <c r="N75" s="221"/>
      <c r="O75" s="198"/>
      <c r="P75" s="198">
        <v>0</v>
      </c>
      <c r="Q75" s="198">
        <v>0</v>
      </c>
      <c r="R75" s="199">
        <f t="shared" si="4"/>
        <v>0</v>
      </c>
      <c r="U75" s="199"/>
      <c r="V75" s="199">
        <v>0</v>
      </c>
      <c r="W75" s="291"/>
      <c r="X75" s="291"/>
      <c r="Y75" s="291"/>
      <c r="Z75" s="291"/>
      <c r="AA75" s="291">
        <v>0</v>
      </c>
      <c r="AB75" s="291">
        <v>0</v>
      </c>
      <c r="AC75" s="291">
        <v>0</v>
      </c>
      <c r="AE75" s="176">
        <f t="shared" si="5"/>
        <v>0</v>
      </c>
      <c r="AF75" s="176">
        <f t="shared" si="5"/>
        <v>0</v>
      </c>
    </row>
    <row r="76" spans="1:32">
      <c r="A76" s="168">
        <v>2448</v>
      </c>
      <c r="B76" s="2">
        <v>142794</v>
      </c>
      <c r="C76" s="2" t="s">
        <v>278</v>
      </c>
      <c r="D76" s="30"/>
      <c r="E76" s="174">
        <v>0</v>
      </c>
      <c r="F76" s="174">
        <v>0</v>
      </c>
      <c r="G76" s="174">
        <v>0</v>
      </c>
      <c r="H76" s="174">
        <f t="shared" si="3"/>
        <v>0</v>
      </c>
      <c r="I76" s="226"/>
      <c r="J76" s="174">
        <v>0</v>
      </c>
      <c r="K76" s="174">
        <v>0</v>
      </c>
      <c r="L76" s="174">
        <v>0</v>
      </c>
      <c r="M76" s="174"/>
      <c r="N76" s="221"/>
      <c r="O76" s="198"/>
      <c r="P76" s="198">
        <v>0</v>
      </c>
      <c r="Q76" s="198">
        <v>0</v>
      </c>
      <c r="R76" s="199">
        <f t="shared" si="4"/>
        <v>0</v>
      </c>
      <c r="U76" s="199"/>
      <c r="V76" s="199">
        <v>0</v>
      </c>
      <c r="W76" s="291"/>
      <c r="X76" s="291"/>
      <c r="Y76" s="291"/>
      <c r="Z76" s="291"/>
      <c r="AA76" s="291">
        <v>0</v>
      </c>
      <c r="AB76" s="291">
        <v>0</v>
      </c>
      <c r="AC76" s="291">
        <v>0</v>
      </c>
      <c r="AE76" s="176">
        <f t="shared" si="5"/>
        <v>0</v>
      </c>
      <c r="AF76" s="176">
        <f t="shared" si="5"/>
        <v>0</v>
      </c>
    </row>
    <row r="77" spans="1:32">
      <c r="A77" s="168">
        <v>2451</v>
      </c>
      <c r="B77" s="2">
        <v>141610</v>
      </c>
      <c r="C77" s="2" t="s">
        <v>279</v>
      </c>
      <c r="D77" s="30"/>
      <c r="E77" s="174">
        <v>0</v>
      </c>
      <c r="F77" s="174">
        <v>0</v>
      </c>
      <c r="G77" s="174">
        <v>0</v>
      </c>
      <c r="H77" s="174">
        <f t="shared" si="3"/>
        <v>0</v>
      </c>
      <c r="I77" s="226"/>
      <c r="J77" s="174">
        <v>0</v>
      </c>
      <c r="K77" s="174">
        <v>0</v>
      </c>
      <c r="L77" s="174">
        <v>0</v>
      </c>
      <c r="M77" s="174"/>
      <c r="N77" s="221"/>
      <c r="O77" s="198"/>
      <c r="P77" s="198">
        <v>0</v>
      </c>
      <c r="Q77" s="198">
        <v>0</v>
      </c>
      <c r="R77" s="199">
        <f t="shared" si="4"/>
        <v>0</v>
      </c>
      <c r="U77" s="199"/>
      <c r="V77" s="199">
        <v>0</v>
      </c>
      <c r="W77" s="291"/>
      <c r="X77" s="291"/>
      <c r="Y77" s="291"/>
      <c r="Z77" s="291"/>
      <c r="AA77" s="291">
        <v>0</v>
      </c>
      <c r="AB77" s="291">
        <v>0</v>
      </c>
      <c r="AC77" s="291">
        <v>0</v>
      </c>
      <c r="AE77" s="176">
        <f t="shared" si="5"/>
        <v>0</v>
      </c>
      <c r="AF77" s="176">
        <f t="shared" si="5"/>
        <v>0</v>
      </c>
    </row>
    <row r="78" spans="1:32">
      <c r="A78" s="168">
        <v>2085</v>
      </c>
      <c r="B78" s="2">
        <v>138693</v>
      </c>
      <c r="C78" s="2" t="s">
        <v>280</v>
      </c>
      <c r="D78" s="30"/>
      <c r="E78" s="174">
        <v>0</v>
      </c>
      <c r="F78" s="174">
        <v>0</v>
      </c>
      <c r="G78" s="174">
        <v>0</v>
      </c>
      <c r="H78" s="174">
        <f t="shared" si="3"/>
        <v>0</v>
      </c>
      <c r="I78" s="226"/>
      <c r="J78" s="174">
        <v>0</v>
      </c>
      <c r="K78" s="174">
        <v>0</v>
      </c>
      <c r="L78" s="174">
        <v>0</v>
      </c>
      <c r="M78" s="174"/>
      <c r="N78" s="221"/>
      <c r="O78" s="198"/>
      <c r="P78" s="198">
        <v>0</v>
      </c>
      <c r="Q78" s="198">
        <v>0</v>
      </c>
      <c r="R78" s="199">
        <f t="shared" si="4"/>
        <v>0</v>
      </c>
      <c r="U78" s="199"/>
      <c r="V78" s="199">
        <v>0</v>
      </c>
      <c r="W78" s="291"/>
      <c r="X78" s="291"/>
      <c r="Y78" s="291"/>
      <c r="Z78" s="291"/>
      <c r="AA78" s="291">
        <v>0</v>
      </c>
      <c r="AB78" s="291">
        <v>0</v>
      </c>
      <c r="AC78" s="291">
        <v>0</v>
      </c>
      <c r="AE78" s="176">
        <f t="shared" si="5"/>
        <v>0</v>
      </c>
      <c r="AF78" s="176">
        <f t="shared" si="5"/>
        <v>0</v>
      </c>
    </row>
    <row r="79" spans="1:32">
      <c r="A79" s="168">
        <v>4006</v>
      </c>
      <c r="B79" s="2">
        <v>139048</v>
      </c>
      <c r="C79" s="2" t="s">
        <v>281</v>
      </c>
      <c r="D79" s="30"/>
      <c r="E79" s="174">
        <v>0</v>
      </c>
      <c r="F79" s="174">
        <v>0</v>
      </c>
      <c r="G79" s="174">
        <v>0</v>
      </c>
      <c r="H79" s="174">
        <f t="shared" si="3"/>
        <v>0</v>
      </c>
      <c r="I79" s="226"/>
      <c r="J79" s="174">
        <v>0</v>
      </c>
      <c r="K79" s="174">
        <v>0</v>
      </c>
      <c r="L79" s="174">
        <v>0</v>
      </c>
      <c r="M79" s="174"/>
      <c r="N79" s="221"/>
      <c r="O79" s="198"/>
      <c r="P79" s="198">
        <v>172626.3</v>
      </c>
      <c r="Q79" s="198">
        <v>-33333.333333333336</v>
      </c>
      <c r="R79" s="199">
        <f t="shared" si="4"/>
        <v>139292.96666666665</v>
      </c>
      <c r="U79" s="199"/>
      <c r="V79" s="199">
        <v>0</v>
      </c>
      <c r="W79" s="291"/>
      <c r="X79" s="291"/>
      <c r="Y79" s="291"/>
      <c r="Z79" s="291"/>
      <c r="AA79" s="291">
        <v>0</v>
      </c>
      <c r="AB79" s="291">
        <v>0</v>
      </c>
      <c r="AC79" s="291">
        <v>0</v>
      </c>
      <c r="AE79" s="176">
        <f t="shared" si="5"/>
        <v>-33333.333333333336</v>
      </c>
      <c r="AF79" s="176">
        <f t="shared" si="5"/>
        <v>172626.3</v>
      </c>
    </row>
    <row r="80" spans="1:32">
      <c r="A80" s="168">
        <v>2086</v>
      </c>
      <c r="B80" s="2">
        <v>143090</v>
      </c>
      <c r="C80" s="2" t="s">
        <v>282</v>
      </c>
      <c r="D80" s="30"/>
      <c r="E80" s="174">
        <v>0</v>
      </c>
      <c r="F80" s="174">
        <v>0</v>
      </c>
      <c r="G80" s="174">
        <v>0</v>
      </c>
      <c r="H80" s="174">
        <f t="shared" si="3"/>
        <v>0</v>
      </c>
      <c r="I80" s="226"/>
      <c r="J80" s="174">
        <v>0</v>
      </c>
      <c r="K80" s="174">
        <v>0</v>
      </c>
      <c r="L80" s="174">
        <v>0</v>
      </c>
      <c r="M80" s="174"/>
      <c r="N80" s="221"/>
      <c r="O80" s="198"/>
      <c r="P80" s="198">
        <v>0</v>
      </c>
      <c r="Q80" s="198">
        <v>0</v>
      </c>
      <c r="R80" s="199">
        <f t="shared" si="4"/>
        <v>0</v>
      </c>
      <c r="U80" s="199"/>
      <c r="V80" s="199">
        <v>0</v>
      </c>
      <c r="W80" s="291"/>
      <c r="X80" s="291"/>
      <c r="Y80" s="291"/>
      <c r="Z80" s="291"/>
      <c r="AA80" s="291">
        <v>0</v>
      </c>
      <c r="AB80" s="291">
        <v>0</v>
      </c>
      <c r="AC80" s="291">
        <v>0</v>
      </c>
      <c r="AE80" s="176">
        <f t="shared" si="5"/>
        <v>0</v>
      </c>
      <c r="AF80" s="176">
        <f t="shared" si="5"/>
        <v>0</v>
      </c>
    </row>
    <row r="81" spans="1:32">
      <c r="A81" s="168">
        <v>2138</v>
      </c>
      <c r="B81" s="2">
        <v>139904</v>
      </c>
      <c r="C81" s="2" t="s">
        <v>283</v>
      </c>
      <c r="D81" s="30"/>
      <c r="E81" s="174">
        <v>0</v>
      </c>
      <c r="F81" s="174">
        <v>0</v>
      </c>
      <c r="G81" s="174">
        <v>0</v>
      </c>
      <c r="H81" s="174">
        <f t="shared" si="3"/>
        <v>0</v>
      </c>
      <c r="I81" s="226"/>
      <c r="J81" s="174">
        <v>0</v>
      </c>
      <c r="K81" s="174">
        <v>0</v>
      </c>
      <c r="L81" s="174">
        <v>0</v>
      </c>
      <c r="M81" s="174"/>
      <c r="N81" s="221"/>
      <c r="O81" s="198"/>
      <c r="P81" s="198">
        <v>0</v>
      </c>
      <c r="Q81" s="198">
        <v>0</v>
      </c>
      <c r="R81" s="199">
        <f t="shared" si="4"/>
        <v>0</v>
      </c>
      <c r="U81" s="199"/>
      <c r="V81" s="199">
        <v>0</v>
      </c>
      <c r="W81" s="291"/>
      <c r="X81" s="291"/>
      <c r="Y81" s="291"/>
      <c r="Z81" s="291"/>
      <c r="AA81" s="291">
        <v>0</v>
      </c>
      <c r="AB81" s="291">
        <v>0</v>
      </c>
      <c r="AC81" s="291">
        <v>0</v>
      </c>
      <c r="AE81" s="176">
        <f t="shared" si="5"/>
        <v>0</v>
      </c>
      <c r="AF81" s="176">
        <f t="shared" si="5"/>
        <v>0</v>
      </c>
    </row>
    <row r="82" spans="1:32">
      <c r="A82" s="168">
        <v>3316</v>
      </c>
      <c r="B82" s="2">
        <v>148081</v>
      </c>
      <c r="C82" s="2" t="s">
        <v>284</v>
      </c>
      <c r="D82" s="30"/>
      <c r="E82" s="174">
        <v>0</v>
      </c>
      <c r="F82" s="174">
        <v>0</v>
      </c>
      <c r="G82" s="174">
        <v>0</v>
      </c>
      <c r="H82" s="174">
        <f t="shared" si="3"/>
        <v>0</v>
      </c>
      <c r="I82" s="226"/>
      <c r="J82" s="174">
        <v>0</v>
      </c>
      <c r="K82" s="174">
        <v>0</v>
      </c>
      <c r="L82" s="174">
        <v>0</v>
      </c>
      <c r="M82" s="174"/>
      <c r="N82" s="221"/>
      <c r="O82" s="198"/>
      <c r="P82" s="198">
        <v>99840.85</v>
      </c>
      <c r="Q82" s="198">
        <v>0</v>
      </c>
      <c r="R82" s="199">
        <f t="shared" si="4"/>
        <v>99840.85</v>
      </c>
      <c r="U82" s="199"/>
      <c r="V82" s="199">
        <v>0</v>
      </c>
      <c r="W82" s="291"/>
      <c r="X82" s="291"/>
      <c r="Y82" s="291"/>
      <c r="Z82" s="291"/>
      <c r="AA82" s="291">
        <v>0</v>
      </c>
      <c r="AB82" s="291">
        <v>0</v>
      </c>
      <c r="AC82" s="291">
        <v>0</v>
      </c>
      <c r="AE82" s="176">
        <f t="shared" si="5"/>
        <v>0</v>
      </c>
      <c r="AF82" s="176">
        <f t="shared" si="5"/>
        <v>99840.85</v>
      </c>
    </row>
    <row r="83" spans="1:32">
      <c r="A83" s="168">
        <v>5409</v>
      </c>
      <c r="B83" s="2">
        <v>137858</v>
      </c>
      <c r="C83" s="2" t="s">
        <v>285</v>
      </c>
      <c r="D83" s="30"/>
      <c r="E83" s="174">
        <v>0</v>
      </c>
      <c r="F83" s="174">
        <v>0</v>
      </c>
      <c r="G83" s="174">
        <v>0</v>
      </c>
      <c r="H83" s="174">
        <f t="shared" si="3"/>
        <v>0</v>
      </c>
      <c r="I83" s="226"/>
      <c r="J83" s="174">
        <v>0</v>
      </c>
      <c r="K83" s="174">
        <v>0</v>
      </c>
      <c r="L83" s="174">
        <v>0</v>
      </c>
      <c r="M83" s="174"/>
      <c r="N83" s="221"/>
      <c r="O83" s="198"/>
      <c r="P83" s="198">
        <v>61083.73</v>
      </c>
      <c r="Q83" s="198">
        <v>-10000</v>
      </c>
      <c r="R83" s="199">
        <f t="shared" si="4"/>
        <v>51083.73</v>
      </c>
      <c r="U83" s="199"/>
      <c r="V83" s="199">
        <v>0</v>
      </c>
      <c r="W83" s="291"/>
      <c r="X83" s="291"/>
      <c r="Y83" s="291"/>
      <c r="Z83" s="291"/>
      <c r="AA83" s="291">
        <v>0</v>
      </c>
      <c r="AB83" s="291">
        <v>0</v>
      </c>
      <c r="AC83" s="291">
        <v>-35240.613715807704</v>
      </c>
      <c r="AE83" s="176">
        <f t="shared" si="5"/>
        <v>-10000</v>
      </c>
      <c r="AF83" s="176">
        <f t="shared" si="5"/>
        <v>25843.1162841923</v>
      </c>
    </row>
    <row r="84" spans="1:32">
      <c r="A84" s="168">
        <v>7000</v>
      </c>
      <c r="B84" s="2">
        <v>144336</v>
      </c>
      <c r="C84" s="2" t="s">
        <v>286</v>
      </c>
      <c r="D84" s="30"/>
      <c r="E84" s="174">
        <v>294960.41666666663</v>
      </c>
      <c r="F84" s="174">
        <v>2076478.6029894538</v>
      </c>
      <c r="G84" s="174">
        <v>191400</v>
      </c>
      <c r="H84" s="174">
        <f t="shared" si="3"/>
        <v>2562839.0196561203</v>
      </c>
      <c r="I84" s="226"/>
      <c r="J84" s="174">
        <v>441105.76923076954</v>
      </c>
      <c r="K84" s="174">
        <v>17110</v>
      </c>
      <c r="L84" s="174">
        <v>0</v>
      </c>
      <c r="M84" s="174"/>
      <c r="N84" s="221"/>
      <c r="O84" s="198"/>
      <c r="P84" s="198">
        <v>0</v>
      </c>
      <c r="Q84" s="198">
        <v>0</v>
      </c>
      <c r="R84" s="199">
        <f t="shared" si="4"/>
        <v>0</v>
      </c>
      <c r="U84" s="199"/>
      <c r="V84" s="199">
        <v>0</v>
      </c>
      <c r="W84" s="291"/>
      <c r="X84" s="291"/>
      <c r="Y84" s="291"/>
      <c r="Z84" s="291"/>
      <c r="AA84" s="291">
        <v>10989.58</v>
      </c>
      <c r="AB84" s="291">
        <v>180609.94656054489</v>
      </c>
      <c r="AC84" s="291">
        <v>0</v>
      </c>
      <c r="AE84" s="176">
        <f t="shared" si="5"/>
        <v>305949.99666666664</v>
      </c>
      <c r="AF84" s="176">
        <f t="shared" si="5"/>
        <v>2906704.3187807682</v>
      </c>
    </row>
    <row r="85" spans="1:32">
      <c r="A85" s="168">
        <v>4240</v>
      </c>
      <c r="B85" s="2">
        <v>139746</v>
      </c>
      <c r="C85" s="2" t="s">
        <v>287</v>
      </c>
      <c r="D85" s="30"/>
      <c r="E85" s="174">
        <v>0</v>
      </c>
      <c r="F85" s="174">
        <v>0</v>
      </c>
      <c r="G85" s="174">
        <v>0</v>
      </c>
      <c r="H85" s="174">
        <f t="shared" si="3"/>
        <v>0</v>
      </c>
      <c r="I85" s="226"/>
      <c r="J85" s="174">
        <v>0</v>
      </c>
      <c r="K85" s="174">
        <v>0</v>
      </c>
      <c r="L85" s="174">
        <v>0</v>
      </c>
      <c r="M85" s="174"/>
      <c r="N85" s="221"/>
      <c r="O85" s="198"/>
      <c r="P85" s="198">
        <v>437389.62000000005</v>
      </c>
      <c r="Q85" s="198">
        <v>-75000</v>
      </c>
      <c r="R85" s="199">
        <f t="shared" si="4"/>
        <v>362389.62000000005</v>
      </c>
      <c r="U85" s="199"/>
      <c r="V85" s="199">
        <v>0</v>
      </c>
      <c r="W85" s="291"/>
      <c r="X85" s="291"/>
      <c r="Y85" s="291"/>
      <c r="Z85" s="291"/>
      <c r="AA85" s="291">
        <v>0</v>
      </c>
      <c r="AB85" s="291">
        <v>0</v>
      </c>
      <c r="AC85" s="291">
        <v>-24000</v>
      </c>
      <c r="AE85" s="176">
        <f t="shared" si="5"/>
        <v>-75000</v>
      </c>
      <c r="AF85" s="176">
        <f t="shared" si="5"/>
        <v>413389.62000000005</v>
      </c>
    </row>
    <row r="86" spans="1:32">
      <c r="A86" s="168">
        <v>6910</v>
      </c>
      <c r="B86" s="2">
        <v>136213</v>
      </c>
      <c r="C86" s="2" t="s">
        <v>288</v>
      </c>
      <c r="D86" s="30"/>
      <c r="E86" s="174">
        <v>0</v>
      </c>
      <c r="F86" s="174">
        <v>0</v>
      </c>
      <c r="G86" s="174">
        <v>0</v>
      </c>
      <c r="H86" s="174">
        <f t="shared" si="3"/>
        <v>0</v>
      </c>
      <c r="I86" s="226"/>
      <c r="J86" s="174">
        <v>0</v>
      </c>
      <c r="K86" s="174">
        <v>0</v>
      </c>
      <c r="L86" s="174">
        <v>0</v>
      </c>
      <c r="M86" s="174"/>
      <c r="N86" s="221"/>
      <c r="O86" s="198"/>
      <c r="P86" s="198">
        <v>0</v>
      </c>
      <c r="Q86" s="198">
        <v>0</v>
      </c>
      <c r="R86" s="199">
        <f t="shared" si="4"/>
        <v>0</v>
      </c>
      <c r="U86" s="199"/>
      <c r="V86" s="199">
        <v>0</v>
      </c>
      <c r="W86" s="291"/>
      <c r="X86" s="291"/>
      <c r="Y86" s="291"/>
      <c r="Z86" s="291"/>
      <c r="AA86" s="291">
        <v>0</v>
      </c>
      <c r="AB86" s="291">
        <v>0</v>
      </c>
      <c r="AC86" s="291">
        <v>0</v>
      </c>
      <c r="AE86" s="176">
        <f t="shared" si="5"/>
        <v>0</v>
      </c>
      <c r="AF86" s="176">
        <f t="shared" si="5"/>
        <v>0</v>
      </c>
    </row>
    <row r="87" spans="1:32">
      <c r="A87" s="168">
        <v>2121</v>
      </c>
      <c r="B87" s="2">
        <v>139269</v>
      </c>
      <c r="C87" s="2" t="s">
        <v>289</v>
      </c>
      <c r="D87" s="30"/>
      <c r="E87" s="174">
        <v>0</v>
      </c>
      <c r="F87" s="174">
        <v>0</v>
      </c>
      <c r="G87" s="174">
        <v>0</v>
      </c>
      <c r="H87" s="174">
        <f t="shared" si="3"/>
        <v>0</v>
      </c>
      <c r="I87" s="226"/>
      <c r="J87" s="174">
        <v>0</v>
      </c>
      <c r="K87" s="174">
        <v>0</v>
      </c>
      <c r="L87" s="174">
        <v>0</v>
      </c>
      <c r="M87" s="174"/>
      <c r="N87" s="221"/>
      <c r="O87" s="198"/>
      <c r="P87" s="198">
        <v>0</v>
      </c>
      <c r="Q87" s="198">
        <v>0</v>
      </c>
      <c r="R87" s="199">
        <f t="shared" si="4"/>
        <v>0</v>
      </c>
      <c r="U87" s="199"/>
      <c r="V87" s="199">
        <v>0</v>
      </c>
      <c r="W87" s="291"/>
      <c r="X87" s="291"/>
      <c r="Y87" s="291"/>
      <c r="Z87" s="291"/>
      <c r="AA87" s="291">
        <v>0</v>
      </c>
      <c r="AB87" s="291">
        <v>0</v>
      </c>
      <c r="AC87" s="291">
        <v>0</v>
      </c>
      <c r="AE87" s="176">
        <f t="shared" si="5"/>
        <v>0</v>
      </c>
      <c r="AF87" s="176">
        <f t="shared" si="5"/>
        <v>0</v>
      </c>
    </row>
    <row r="88" spans="1:32">
      <c r="A88" s="168">
        <v>2313</v>
      </c>
      <c r="B88" s="2">
        <v>149366</v>
      </c>
      <c r="C88" s="2" t="s">
        <v>290</v>
      </c>
      <c r="D88" s="30"/>
      <c r="E88" s="174">
        <v>0</v>
      </c>
      <c r="F88" s="174">
        <v>0</v>
      </c>
      <c r="G88" s="174">
        <v>0</v>
      </c>
      <c r="H88" s="174">
        <f t="shared" si="3"/>
        <v>0</v>
      </c>
      <c r="I88" s="226"/>
      <c r="J88" s="174">
        <v>0</v>
      </c>
      <c r="K88" s="174">
        <v>0</v>
      </c>
      <c r="L88" s="174">
        <v>0</v>
      </c>
      <c r="M88" s="174"/>
      <c r="N88" s="221"/>
      <c r="O88" s="198"/>
      <c r="P88" s="198">
        <v>0</v>
      </c>
      <c r="Q88" s="198">
        <v>0</v>
      </c>
      <c r="R88" s="199">
        <f t="shared" si="4"/>
        <v>0</v>
      </c>
      <c r="U88" s="199"/>
      <c r="V88" s="199">
        <v>0</v>
      </c>
      <c r="W88" s="291"/>
      <c r="X88" s="291"/>
      <c r="Y88" s="291"/>
      <c r="Z88" s="291"/>
      <c r="AA88" s="291">
        <v>0</v>
      </c>
      <c r="AB88" s="291">
        <v>0</v>
      </c>
      <c r="AC88" s="291">
        <v>0</v>
      </c>
      <c r="AE88" s="176">
        <f t="shared" si="5"/>
        <v>0</v>
      </c>
      <c r="AF88" s="176">
        <f t="shared" si="5"/>
        <v>0</v>
      </c>
    </row>
    <row r="89" spans="1:32">
      <c r="A89" s="168">
        <v>2309</v>
      </c>
      <c r="B89" s="2">
        <v>142231</v>
      </c>
      <c r="C89" s="2" t="s">
        <v>291</v>
      </c>
      <c r="D89" s="30"/>
      <c r="E89" s="174">
        <v>0</v>
      </c>
      <c r="F89" s="174">
        <v>0</v>
      </c>
      <c r="G89" s="174">
        <v>0</v>
      </c>
      <c r="H89" s="174">
        <f t="shared" si="3"/>
        <v>0</v>
      </c>
      <c r="I89" s="226"/>
      <c r="J89" s="174">
        <v>0</v>
      </c>
      <c r="K89" s="174">
        <v>0</v>
      </c>
      <c r="L89" s="174">
        <v>0</v>
      </c>
      <c r="M89" s="174"/>
      <c r="N89" s="221"/>
      <c r="O89" s="198"/>
      <c r="P89" s="198">
        <v>133170.69999999998</v>
      </c>
      <c r="Q89" s="198">
        <v>0</v>
      </c>
      <c r="R89" s="199">
        <f t="shared" si="4"/>
        <v>133170.69999999998</v>
      </c>
      <c r="U89" s="199"/>
      <c r="V89" s="199">
        <v>0</v>
      </c>
      <c r="W89" s="291"/>
      <c r="X89" s="291"/>
      <c r="Y89" s="291"/>
      <c r="Z89" s="291"/>
      <c r="AA89" s="291">
        <v>0</v>
      </c>
      <c r="AB89" s="291">
        <v>0</v>
      </c>
      <c r="AC89" s="291">
        <v>36329.535961538495</v>
      </c>
      <c r="AE89" s="176">
        <f t="shared" si="5"/>
        <v>0</v>
      </c>
      <c r="AF89" s="176">
        <f t="shared" si="5"/>
        <v>169500.23596153848</v>
      </c>
    </row>
    <row r="90" spans="1:32">
      <c r="A90" s="168">
        <v>2455</v>
      </c>
      <c r="B90" s="2">
        <v>140890</v>
      </c>
      <c r="C90" s="2" t="s">
        <v>292</v>
      </c>
      <c r="D90" s="30"/>
      <c r="E90" s="174">
        <v>0</v>
      </c>
      <c r="F90" s="174">
        <v>0</v>
      </c>
      <c r="G90" s="174">
        <v>0</v>
      </c>
      <c r="H90" s="174">
        <f t="shared" si="3"/>
        <v>0</v>
      </c>
      <c r="I90" s="226"/>
      <c r="J90" s="174">
        <v>0</v>
      </c>
      <c r="K90" s="174">
        <v>0</v>
      </c>
      <c r="L90" s="174">
        <v>0</v>
      </c>
      <c r="M90" s="174"/>
      <c r="N90" s="221"/>
      <c r="O90" s="198"/>
      <c r="P90" s="198">
        <v>0</v>
      </c>
      <c r="Q90" s="198">
        <v>0</v>
      </c>
      <c r="R90" s="199">
        <f t="shared" si="4"/>
        <v>0</v>
      </c>
      <c r="U90" s="199"/>
      <c r="V90" s="199">
        <v>0</v>
      </c>
      <c r="W90" s="291"/>
      <c r="X90" s="291"/>
      <c r="Y90" s="291"/>
      <c r="Z90" s="291"/>
      <c r="AA90" s="291">
        <v>0</v>
      </c>
      <c r="AB90" s="291">
        <v>0</v>
      </c>
      <c r="AC90" s="291">
        <v>0</v>
      </c>
      <c r="AE90" s="176">
        <f t="shared" si="5"/>
        <v>0</v>
      </c>
      <c r="AF90" s="176">
        <f t="shared" si="5"/>
        <v>0</v>
      </c>
    </row>
    <row r="91" spans="1:32">
      <c r="A91" s="168">
        <v>2165</v>
      </c>
      <c r="B91" s="2">
        <v>142570</v>
      </c>
      <c r="C91" s="2" t="s">
        <v>293</v>
      </c>
      <c r="D91" s="30"/>
      <c r="E91" s="174">
        <v>0</v>
      </c>
      <c r="F91" s="174">
        <v>0</v>
      </c>
      <c r="G91" s="174">
        <v>0</v>
      </c>
      <c r="H91" s="174">
        <f t="shared" si="3"/>
        <v>0</v>
      </c>
      <c r="I91" s="226"/>
      <c r="J91" s="174">
        <v>0</v>
      </c>
      <c r="K91" s="174">
        <v>0</v>
      </c>
      <c r="L91" s="174">
        <v>0</v>
      </c>
      <c r="M91" s="174"/>
      <c r="N91" s="221"/>
      <c r="O91" s="198"/>
      <c r="P91" s="198">
        <v>118495.45</v>
      </c>
      <c r="Q91" s="198">
        <v>0</v>
      </c>
      <c r="R91" s="199">
        <f t="shared" si="4"/>
        <v>118495.45</v>
      </c>
      <c r="U91" s="199"/>
      <c r="V91" s="199">
        <v>0</v>
      </c>
      <c r="W91" s="291"/>
      <c r="X91" s="291"/>
      <c r="Y91" s="291"/>
      <c r="Z91" s="291"/>
      <c r="AA91" s="291">
        <v>0</v>
      </c>
      <c r="AB91" s="291">
        <v>0</v>
      </c>
      <c r="AC91" s="291">
        <v>61014.308076923058</v>
      </c>
      <c r="AE91" s="176">
        <f t="shared" si="5"/>
        <v>0</v>
      </c>
      <c r="AF91" s="176">
        <f t="shared" si="5"/>
        <v>179509.75807692306</v>
      </c>
    </row>
    <row r="92" spans="1:32">
      <c r="A92" s="168">
        <v>2210</v>
      </c>
      <c r="B92" s="2">
        <v>149483</v>
      </c>
      <c r="C92" s="2" t="s">
        <v>294</v>
      </c>
      <c r="D92" s="30"/>
      <c r="E92" s="174">
        <v>0</v>
      </c>
      <c r="F92" s="174">
        <v>0</v>
      </c>
      <c r="G92" s="174">
        <v>0</v>
      </c>
      <c r="H92" s="174">
        <f t="shared" si="3"/>
        <v>0</v>
      </c>
      <c r="I92" s="226"/>
      <c r="J92" s="174">
        <v>0</v>
      </c>
      <c r="K92" s="174">
        <v>0</v>
      </c>
      <c r="L92" s="174">
        <v>0</v>
      </c>
      <c r="M92" s="174"/>
      <c r="N92" s="221"/>
      <c r="O92" s="198"/>
      <c r="P92" s="198">
        <v>0</v>
      </c>
      <c r="Q92" s="198">
        <v>0</v>
      </c>
      <c r="R92" s="199">
        <f t="shared" si="4"/>
        <v>0</v>
      </c>
      <c r="U92" s="199"/>
      <c r="V92" s="199">
        <v>0</v>
      </c>
      <c r="W92" s="291"/>
      <c r="X92" s="291"/>
      <c r="Y92" s="291"/>
      <c r="Z92" s="291"/>
      <c r="AA92" s="291">
        <v>0</v>
      </c>
      <c r="AB92" s="291">
        <v>0</v>
      </c>
      <c r="AC92" s="291">
        <v>0</v>
      </c>
      <c r="AE92" s="176">
        <f t="shared" si="5"/>
        <v>0</v>
      </c>
      <c r="AF92" s="176">
        <f t="shared" si="5"/>
        <v>0</v>
      </c>
    </row>
    <row r="93" spans="1:32">
      <c r="A93" s="168">
        <v>3429</v>
      </c>
      <c r="B93" s="2">
        <v>139520</v>
      </c>
      <c r="C93" s="2" t="s">
        <v>295</v>
      </c>
      <c r="D93" s="30"/>
      <c r="E93" s="174">
        <v>0</v>
      </c>
      <c r="F93" s="174">
        <v>0</v>
      </c>
      <c r="G93" s="174">
        <v>0</v>
      </c>
      <c r="H93" s="174">
        <f t="shared" si="3"/>
        <v>0</v>
      </c>
      <c r="I93" s="226"/>
      <c r="J93" s="174">
        <v>0</v>
      </c>
      <c r="K93" s="174">
        <v>0</v>
      </c>
      <c r="L93" s="174">
        <v>0</v>
      </c>
      <c r="M93" s="174"/>
      <c r="N93" s="221"/>
      <c r="O93" s="198"/>
      <c r="P93" s="198">
        <v>0</v>
      </c>
      <c r="Q93" s="198">
        <v>0</v>
      </c>
      <c r="R93" s="199">
        <f t="shared" si="4"/>
        <v>0</v>
      </c>
      <c r="U93" s="199"/>
      <c r="V93" s="199">
        <v>0</v>
      </c>
      <c r="W93" s="291"/>
      <c r="X93" s="291"/>
      <c r="Y93" s="291"/>
      <c r="Z93" s="291"/>
      <c r="AA93" s="291">
        <v>0</v>
      </c>
      <c r="AB93" s="291">
        <v>0</v>
      </c>
      <c r="AC93" s="291">
        <v>0</v>
      </c>
      <c r="AE93" s="176">
        <f t="shared" si="5"/>
        <v>0</v>
      </c>
      <c r="AF93" s="176">
        <f t="shared" si="5"/>
        <v>0</v>
      </c>
    </row>
    <row r="94" spans="1:32">
      <c r="A94" s="168">
        <v>4012</v>
      </c>
      <c r="B94" s="2">
        <v>137346</v>
      </c>
      <c r="C94" s="2" t="s">
        <v>296</v>
      </c>
      <c r="D94" s="30"/>
      <c r="E94" s="174">
        <v>0</v>
      </c>
      <c r="F94" s="174">
        <v>0</v>
      </c>
      <c r="G94" s="174">
        <v>0</v>
      </c>
      <c r="H94" s="174">
        <f t="shared" si="3"/>
        <v>0</v>
      </c>
      <c r="I94" s="226"/>
      <c r="J94" s="174">
        <v>0</v>
      </c>
      <c r="K94" s="174">
        <v>0</v>
      </c>
      <c r="L94" s="174">
        <v>0</v>
      </c>
      <c r="M94" s="174"/>
      <c r="N94" s="221"/>
      <c r="O94" s="198"/>
      <c r="P94" s="198">
        <v>0</v>
      </c>
      <c r="Q94" s="198">
        <v>0</v>
      </c>
      <c r="R94" s="199">
        <f t="shared" si="4"/>
        <v>0</v>
      </c>
      <c r="U94" s="199"/>
      <c r="V94" s="199">
        <v>0</v>
      </c>
      <c r="W94" s="291"/>
      <c r="X94" s="291"/>
      <c r="Y94" s="291"/>
      <c r="Z94" s="291"/>
      <c r="AA94" s="291">
        <v>0</v>
      </c>
      <c r="AB94" s="291">
        <v>0</v>
      </c>
      <c r="AC94" s="291">
        <v>0</v>
      </c>
      <c r="AE94" s="176">
        <f t="shared" si="5"/>
        <v>0</v>
      </c>
      <c r="AF94" s="176">
        <f t="shared" si="5"/>
        <v>0</v>
      </c>
    </row>
    <row r="95" spans="1:32">
      <c r="A95" s="168">
        <v>2434</v>
      </c>
      <c r="B95" s="2">
        <v>141270</v>
      </c>
      <c r="C95" s="2" t="s">
        <v>297</v>
      </c>
      <c r="D95" s="30"/>
      <c r="E95" s="174">
        <v>0</v>
      </c>
      <c r="F95" s="174">
        <v>0</v>
      </c>
      <c r="G95" s="174">
        <v>0</v>
      </c>
      <c r="H95" s="174">
        <f t="shared" si="3"/>
        <v>0</v>
      </c>
      <c r="I95" s="226"/>
      <c r="J95" s="174">
        <v>0</v>
      </c>
      <c r="K95" s="174">
        <v>0</v>
      </c>
      <c r="L95" s="174">
        <v>0</v>
      </c>
      <c r="M95" s="174"/>
      <c r="N95" s="221"/>
      <c r="O95" s="198"/>
      <c r="P95" s="198">
        <v>0</v>
      </c>
      <c r="Q95" s="198">
        <v>0</v>
      </c>
      <c r="R95" s="199">
        <f t="shared" si="4"/>
        <v>0</v>
      </c>
      <c r="U95" s="199"/>
      <c r="V95" s="199">
        <v>0</v>
      </c>
      <c r="W95" s="291"/>
      <c r="X95" s="291"/>
      <c r="Y95" s="291"/>
      <c r="Z95" s="291"/>
      <c r="AA95" s="291">
        <v>0</v>
      </c>
      <c r="AB95" s="291">
        <v>0</v>
      </c>
      <c r="AC95" s="291">
        <v>0</v>
      </c>
      <c r="AE95" s="176">
        <f t="shared" si="5"/>
        <v>0</v>
      </c>
      <c r="AF95" s="176">
        <f t="shared" si="5"/>
        <v>0</v>
      </c>
    </row>
    <row r="96" spans="1:32">
      <c r="A96" s="168">
        <v>3430</v>
      </c>
      <c r="B96" s="2">
        <v>143869</v>
      </c>
      <c r="C96" s="2" t="s">
        <v>298</v>
      </c>
      <c r="D96" s="30"/>
      <c r="E96" s="174">
        <v>0</v>
      </c>
      <c r="F96" s="174">
        <v>0</v>
      </c>
      <c r="G96" s="174">
        <v>0</v>
      </c>
      <c r="H96" s="174">
        <f t="shared" si="3"/>
        <v>0</v>
      </c>
      <c r="I96" s="226"/>
      <c r="J96" s="174">
        <v>0</v>
      </c>
      <c r="K96" s="174">
        <v>0</v>
      </c>
      <c r="L96" s="174">
        <v>0</v>
      </c>
      <c r="M96" s="174"/>
      <c r="N96" s="221"/>
      <c r="O96" s="198"/>
      <c r="P96" s="198">
        <v>0</v>
      </c>
      <c r="Q96" s="198">
        <v>0</v>
      </c>
      <c r="R96" s="199">
        <f t="shared" si="4"/>
        <v>0</v>
      </c>
      <c r="U96" s="199"/>
      <c r="V96" s="199">
        <v>0</v>
      </c>
      <c r="W96" s="291"/>
      <c r="X96" s="291"/>
      <c r="Y96" s="291"/>
      <c r="Z96" s="291"/>
      <c r="AA96" s="291">
        <v>0</v>
      </c>
      <c r="AB96" s="291">
        <v>0</v>
      </c>
      <c r="AC96" s="291">
        <v>0</v>
      </c>
      <c r="AE96" s="176">
        <f t="shared" si="5"/>
        <v>0</v>
      </c>
      <c r="AF96" s="176">
        <f t="shared" si="5"/>
        <v>0</v>
      </c>
    </row>
    <row r="97" spans="1:32">
      <c r="A97" s="168">
        <v>2429</v>
      </c>
      <c r="B97" s="2">
        <v>149305</v>
      </c>
      <c r="C97" s="2" t="s">
        <v>299</v>
      </c>
      <c r="D97" s="30"/>
      <c r="E97" s="174">
        <v>0</v>
      </c>
      <c r="F97" s="174">
        <v>0</v>
      </c>
      <c r="G97" s="174">
        <v>0</v>
      </c>
      <c r="H97" s="174">
        <f t="shared" si="3"/>
        <v>0</v>
      </c>
      <c r="I97" s="226"/>
      <c r="J97" s="174">
        <v>0</v>
      </c>
      <c r="K97" s="174">
        <v>0</v>
      </c>
      <c r="L97" s="174">
        <v>0</v>
      </c>
      <c r="M97" s="174"/>
      <c r="N97" s="221"/>
      <c r="O97" s="198"/>
      <c r="P97" s="198">
        <v>0</v>
      </c>
      <c r="Q97" s="198">
        <v>0</v>
      </c>
      <c r="R97" s="199">
        <f t="shared" si="4"/>
        <v>0</v>
      </c>
      <c r="U97" s="199"/>
      <c r="V97" s="199">
        <v>0</v>
      </c>
      <c r="W97" s="291"/>
      <c r="X97" s="291"/>
      <c r="Y97" s="291"/>
      <c r="Z97" s="291"/>
      <c r="AA97" s="291">
        <v>0</v>
      </c>
      <c r="AB97" s="291">
        <v>0</v>
      </c>
      <c r="AC97" s="291">
        <v>0</v>
      </c>
      <c r="AE97" s="176">
        <f t="shared" si="5"/>
        <v>0</v>
      </c>
      <c r="AF97" s="176">
        <f t="shared" si="5"/>
        <v>0</v>
      </c>
    </row>
    <row r="98" spans="1:32">
      <c r="A98" s="168">
        <v>2288</v>
      </c>
      <c r="B98" s="2">
        <v>149607</v>
      </c>
      <c r="C98" s="2" t="s">
        <v>300</v>
      </c>
      <c r="D98" s="30"/>
      <c r="E98" s="174">
        <v>0</v>
      </c>
      <c r="F98" s="174">
        <v>0</v>
      </c>
      <c r="G98" s="174">
        <v>0</v>
      </c>
      <c r="H98" s="174">
        <f t="shared" si="3"/>
        <v>0</v>
      </c>
      <c r="I98" s="226"/>
      <c r="J98" s="174">
        <v>0</v>
      </c>
      <c r="K98" s="174">
        <v>0</v>
      </c>
      <c r="L98" s="174">
        <v>0</v>
      </c>
      <c r="M98" s="174"/>
      <c r="N98" s="221"/>
      <c r="O98" s="198"/>
      <c r="P98" s="198">
        <v>197691.04999999996</v>
      </c>
      <c r="Q98" s="198">
        <v>-21666.666666666668</v>
      </c>
      <c r="R98" s="199">
        <f t="shared" si="4"/>
        <v>176024.3833333333</v>
      </c>
      <c r="U98" s="199"/>
      <c r="V98" s="199">
        <v>0</v>
      </c>
      <c r="W98" s="291"/>
      <c r="X98" s="291"/>
      <c r="Y98" s="291"/>
      <c r="Z98" s="291"/>
      <c r="AA98" s="291">
        <v>0</v>
      </c>
      <c r="AB98" s="291">
        <v>0</v>
      </c>
      <c r="AC98" s="291">
        <v>-50000</v>
      </c>
      <c r="AE98" s="176">
        <f t="shared" si="5"/>
        <v>-21666.666666666668</v>
      </c>
      <c r="AF98" s="176">
        <f t="shared" si="5"/>
        <v>147691.04999999996</v>
      </c>
    </row>
    <row r="99" spans="1:32">
      <c r="A99" s="168">
        <v>3402</v>
      </c>
      <c r="B99" s="2">
        <v>140525</v>
      </c>
      <c r="C99" s="2" t="s">
        <v>301</v>
      </c>
      <c r="D99" s="30"/>
      <c r="E99" s="174">
        <v>0</v>
      </c>
      <c r="F99" s="174">
        <v>0</v>
      </c>
      <c r="G99" s="174">
        <v>0</v>
      </c>
      <c r="H99" s="174">
        <f t="shared" si="3"/>
        <v>0</v>
      </c>
      <c r="I99" s="226"/>
      <c r="J99" s="174">
        <v>0</v>
      </c>
      <c r="K99" s="174">
        <v>0</v>
      </c>
      <c r="L99" s="174">
        <v>0</v>
      </c>
      <c r="M99" s="174"/>
      <c r="N99" s="221"/>
      <c r="O99" s="198"/>
      <c r="P99" s="198">
        <v>0</v>
      </c>
      <c r="Q99" s="198">
        <v>0</v>
      </c>
      <c r="R99" s="199">
        <f t="shared" si="4"/>
        <v>0</v>
      </c>
      <c r="U99" s="199"/>
      <c r="V99" s="199">
        <v>0</v>
      </c>
      <c r="W99" s="291"/>
      <c r="X99" s="291"/>
      <c r="Y99" s="291"/>
      <c r="Z99" s="291"/>
      <c r="AA99" s="291">
        <v>0</v>
      </c>
      <c r="AB99" s="291">
        <v>0</v>
      </c>
      <c r="AC99" s="291">
        <v>0</v>
      </c>
      <c r="AE99" s="176">
        <f t="shared" si="5"/>
        <v>0</v>
      </c>
      <c r="AF99" s="176">
        <f t="shared" si="5"/>
        <v>0</v>
      </c>
    </row>
    <row r="100" spans="1:32">
      <c r="A100" s="168">
        <v>2199</v>
      </c>
      <c r="B100" s="2">
        <v>147009</v>
      </c>
      <c r="C100" s="2" t="s">
        <v>302</v>
      </c>
      <c r="D100" s="30"/>
      <c r="E100" s="174">
        <v>0</v>
      </c>
      <c r="F100" s="174">
        <v>0</v>
      </c>
      <c r="G100" s="174">
        <v>0</v>
      </c>
      <c r="H100" s="174">
        <f t="shared" si="3"/>
        <v>0</v>
      </c>
      <c r="I100" s="226"/>
      <c r="J100" s="174">
        <v>0</v>
      </c>
      <c r="K100" s="174">
        <v>0</v>
      </c>
      <c r="L100" s="174">
        <v>0</v>
      </c>
      <c r="M100" s="174"/>
      <c r="N100" s="221"/>
      <c r="O100" s="198"/>
      <c r="P100" s="198">
        <v>0</v>
      </c>
      <c r="Q100" s="198">
        <v>0</v>
      </c>
      <c r="R100" s="199">
        <f t="shared" si="4"/>
        <v>0</v>
      </c>
      <c r="U100" s="199"/>
      <c r="V100" s="199">
        <v>0</v>
      </c>
      <c r="W100" s="291"/>
      <c r="X100" s="291"/>
      <c r="Y100" s="291"/>
      <c r="Z100" s="291"/>
      <c r="AA100" s="291">
        <v>0</v>
      </c>
      <c r="AB100" s="291">
        <v>0</v>
      </c>
      <c r="AC100" s="291">
        <v>0</v>
      </c>
      <c r="AE100" s="176">
        <f t="shared" si="5"/>
        <v>0</v>
      </c>
      <c r="AF100" s="176">
        <f t="shared" si="5"/>
        <v>0</v>
      </c>
    </row>
    <row r="101" spans="1:32">
      <c r="A101" s="168">
        <v>4026</v>
      </c>
      <c r="B101" s="2">
        <v>144719</v>
      </c>
      <c r="C101" s="2" t="s">
        <v>303</v>
      </c>
      <c r="D101" s="30"/>
      <c r="E101" s="174">
        <v>0</v>
      </c>
      <c r="F101" s="174">
        <v>0</v>
      </c>
      <c r="G101" s="174">
        <v>0</v>
      </c>
      <c r="H101" s="174">
        <f t="shared" si="3"/>
        <v>0</v>
      </c>
      <c r="I101" s="226"/>
      <c r="J101" s="174">
        <v>0</v>
      </c>
      <c r="K101" s="174">
        <v>0</v>
      </c>
      <c r="L101" s="174">
        <v>0</v>
      </c>
      <c r="M101" s="174"/>
      <c r="N101" s="221"/>
      <c r="O101" s="198"/>
      <c r="P101" s="198">
        <v>0</v>
      </c>
      <c r="Q101" s="198">
        <v>0</v>
      </c>
      <c r="R101" s="199">
        <f t="shared" si="4"/>
        <v>0</v>
      </c>
      <c r="U101" s="199"/>
      <c r="V101" s="199">
        <v>0</v>
      </c>
      <c r="W101" s="291"/>
      <c r="X101" s="291"/>
      <c r="Y101" s="291"/>
      <c r="Z101" s="291"/>
      <c r="AA101" s="291">
        <v>0</v>
      </c>
      <c r="AB101" s="291">
        <v>0</v>
      </c>
      <c r="AC101" s="291">
        <v>0</v>
      </c>
      <c r="AE101" s="176">
        <f t="shared" si="5"/>
        <v>0</v>
      </c>
      <c r="AF101" s="176">
        <f t="shared" si="5"/>
        <v>0</v>
      </c>
    </row>
    <row r="102" spans="1:32">
      <c r="A102" s="168">
        <v>3303</v>
      </c>
      <c r="B102" s="2">
        <v>140463</v>
      </c>
      <c r="C102" s="2" t="s">
        <v>304</v>
      </c>
      <c r="D102" s="30"/>
      <c r="E102" s="174">
        <v>0</v>
      </c>
      <c r="F102" s="174">
        <v>0</v>
      </c>
      <c r="G102" s="174">
        <v>0</v>
      </c>
      <c r="H102" s="174">
        <f t="shared" si="3"/>
        <v>0</v>
      </c>
      <c r="I102" s="226"/>
      <c r="J102" s="174">
        <v>0</v>
      </c>
      <c r="K102" s="174">
        <v>0</v>
      </c>
      <c r="L102" s="174">
        <v>0</v>
      </c>
      <c r="M102" s="174"/>
      <c r="N102" s="221"/>
      <c r="O102" s="198"/>
      <c r="P102" s="198">
        <v>0</v>
      </c>
      <c r="Q102" s="198">
        <v>0</v>
      </c>
      <c r="R102" s="199">
        <f t="shared" si="4"/>
        <v>0</v>
      </c>
      <c r="U102" s="199"/>
      <c r="V102" s="199">
        <v>0</v>
      </c>
      <c r="W102" s="291"/>
      <c r="X102" s="291"/>
      <c r="Y102" s="291"/>
      <c r="Z102" s="291"/>
      <c r="AA102" s="291">
        <v>0</v>
      </c>
      <c r="AB102" s="291">
        <v>0</v>
      </c>
      <c r="AC102" s="291">
        <v>0</v>
      </c>
      <c r="AE102" s="176">
        <f t="shared" si="5"/>
        <v>0</v>
      </c>
      <c r="AF102" s="176">
        <f t="shared" si="5"/>
        <v>0</v>
      </c>
    </row>
    <row r="103" spans="1:32">
      <c r="A103" s="168">
        <v>4241</v>
      </c>
      <c r="B103" s="2">
        <v>137034</v>
      </c>
      <c r="C103" s="2" t="s">
        <v>305</v>
      </c>
      <c r="D103" s="30"/>
      <c r="E103" s="174">
        <v>0</v>
      </c>
      <c r="F103" s="174">
        <v>0</v>
      </c>
      <c r="G103" s="174">
        <v>0</v>
      </c>
      <c r="H103" s="174">
        <f t="shared" si="3"/>
        <v>0</v>
      </c>
      <c r="I103" s="226"/>
      <c r="J103" s="174">
        <v>0</v>
      </c>
      <c r="K103" s="174">
        <v>0</v>
      </c>
      <c r="L103" s="174">
        <v>0</v>
      </c>
      <c r="M103" s="174"/>
      <c r="N103" s="221"/>
      <c r="O103" s="198"/>
      <c r="P103" s="198">
        <v>0</v>
      </c>
      <c r="Q103" s="198">
        <v>0</v>
      </c>
      <c r="R103" s="199">
        <f t="shared" si="4"/>
        <v>0</v>
      </c>
      <c r="U103" s="199"/>
      <c r="V103" s="199">
        <v>0</v>
      </c>
      <c r="W103" s="291"/>
      <c r="X103" s="291"/>
      <c r="Y103" s="291"/>
      <c r="Z103" s="291"/>
      <c r="AA103" s="291">
        <v>0</v>
      </c>
      <c r="AB103" s="291">
        <v>0</v>
      </c>
      <c r="AC103" s="291">
        <v>0</v>
      </c>
      <c r="AE103" s="176">
        <f t="shared" si="5"/>
        <v>0</v>
      </c>
      <c r="AF103" s="176">
        <f t="shared" si="5"/>
        <v>0</v>
      </c>
    </row>
    <row r="104" spans="1:32">
      <c r="A104" s="168">
        <v>7063</v>
      </c>
      <c r="B104" s="2">
        <v>139526</v>
      </c>
      <c r="C104" s="2" t="s">
        <v>306</v>
      </c>
      <c r="D104" s="30"/>
      <c r="E104" s="174">
        <v>296455</v>
      </c>
      <c r="F104" s="174">
        <v>819117.4228216263</v>
      </c>
      <c r="G104" s="174">
        <v>185460</v>
      </c>
      <c r="H104" s="174">
        <f t="shared" si="3"/>
        <v>1301032.4228216263</v>
      </c>
      <c r="I104" s="226"/>
      <c r="J104" s="174">
        <v>163730.76923076919</v>
      </c>
      <c r="K104" s="174">
        <v>160200</v>
      </c>
      <c r="L104" s="174">
        <v>0</v>
      </c>
      <c r="M104" s="174"/>
      <c r="N104" s="221"/>
      <c r="O104" s="198"/>
      <c r="P104" s="198">
        <v>0</v>
      </c>
      <c r="Q104" s="198">
        <v>0</v>
      </c>
      <c r="R104" s="199">
        <f t="shared" si="4"/>
        <v>0</v>
      </c>
      <c r="U104" s="199"/>
      <c r="V104" s="199">
        <v>0</v>
      </c>
      <c r="W104" s="291">
        <v>917204.5</v>
      </c>
      <c r="X104" s="291"/>
      <c r="Y104" s="291"/>
      <c r="Z104" s="291"/>
      <c r="AA104" s="291">
        <v>0</v>
      </c>
      <c r="AB104" s="291">
        <v>71374.439318851917</v>
      </c>
      <c r="AC104" s="291">
        <v>0</v>
      </c>
      <c r="AE104" s="176">
        <f t="shared" si="5"/>
        <v>1213659.5</v>
      </c>
      <c r="AF104" s="176">
        <f t="shared" si="5"/>
        <v>1399882.6313712476</v>
      </c>
    </row>
    <row r="105" spans="1:32">
      <c r="A105" s="168">
        <v>2111</v>
      </c>
      <c r="B105" s="2">
        <v>142353</v>
      </c>
      <c r="C105" s="2" t="s">
        <v>307</v>
      </c>
      <c r="D105" s="30"/>
      <c r="E105" s="174">
        <v>0</v>
      </c>
      <c r="F105" s="174">
        <v>0</v>
      </c>
      <c r="G105" s="174">
        <v>0</v>
      </c>
      <c r="H105" s="174">
        <f t="shared" si="3"/>
        <v>0</v>
      </c>
      <c r="I105" s="226"/>
      <c r="J105" s="174">
        <v>0</v>
      </c>
      <c r="K105" s="174">
        <v>0</v>
      </c>
      <c r="L105" s="174">
        <v>0</v>
      </c>
      <c r="M105" s="174"/>
      <c r="N105" s="221"/>
      <c r="O105" s="198"/>
      <c r="P105" s="198">
        <v>0</v>
      </c>
      <c r="Q105" s="198">
        <v>0</v>
      </c>
      <c r="R105" s="199">
        <f t="shared" si="4"/>
        <v>0</v>
      </c>
      <c r="U105" s="199"/>
      <c r="V105" s="199">
        <v>0</v>
      </c>
      <c r="W105" s="291"/>
      <c r="X105" s="291"/>
      <c r="Y105" s="291"/>
      <c r="Z105" s="291"/>
      <c r="AA105" s="291">
        <v>0</v>
      </c>
      <c r="AB105" s="291">
        <v>0</v>
      </c>
      <c r="AC105" s="291">
        <v>0</v>
      </c>
      <c r="AE105" s="176">
        <f t="shared" ref="AE105:AF136" si="6">SUMIFS($E105:$H105,$E$3:$H$3,AE$7)+SUMIFS($O105:$R105,$O$3:$R$3,AE$7)+SUMIFS($J105:$M105,$J$3:$M$3,AE$7)+SUMIFS($U105:$AC105,$U$3:$AC$3,AE$7)</f>
        <v>0</v>
      </c>
      <c r="AF105" s="176">
        <f t="shared" si="6"/>
        <v>0</v>
      </c>
    </row>
    <row r="106" spans="1:32">
      <c r="A106" s="168">
        <v>4016</v>
      </c>
      <c r="B106" s="2">
        <v>141003</v>
      </c>
      <c r="C106" s="2" t="s">
        <v>308</v>
      </c>
      <c r="D106" s="30"/>
      <c r="E106" s="174">
        <v>0</v>
      </c>
      <c r="F106" s="174">
        <v>0</v>
      </c>
      <c r="G106" s="174">
        <v>0</v>
      </c>
      <c r="H106" s="174">
        <f t="shared" si="3"/>
        <v>0</v>
      </c>
      <c r="I106" s="226"/>
      <c r="J106" s="174">
        <v>0</v>
      </c>
      <c r="K106" s="174">
        <v>0</v>
      </c>
      <c r="L106" s="174">
        <v>0</v>
      </c>
      <c r="M106" s="174"/>
      <c r="N106" s="221"/>
      <c r="O106" s="198"/>
      <c r="P106" s="198">
        <v>0</v>
      </c>
      <c r="Q106" s="198">
        <v>0</v>
      </c>
      <c r="R106" s="199">
        <f t="shared" si="4"/>
        <v>0</v>
      </c>
      <c r="U106" s="199"/>
      <c r="V106" s="199">
        <v>0</v>
      </c>
      <c r="W106" s="291"/>
      <c r="X106" s="291"/>
      <c r="Y106" s="291"/>
      <c r="Z106" s="291"/>
      <c r="AA106" s="291">
        <v>0</v>
      </c>
      <c r="AB106" s="291">
        <v>0</v>
      </c>
      <c r="AC106" s="291">
        <v>0</v>
      </c>
      <c r="AE106" s="176">
        <f t="shared" si="6"/>
        <v>0</v>
      </c>
      <c r="AF106" s="176">
        <f t="shared" si="6"/>
        <v>0</v>
      </c>
    </row>
    <row r="107" spans="1:32">
      <c r="A107" s="168">
        <v>5408</v>
      </c>
      <c r="B107" s="2">
        <v>137043</v>
      </c>
      <c r="C107" s="2" t="s">
        <v>309</v>
      </c>
      <c r="D107" s="30"/>
      <c r="E107" s="174">
        <v>0</v>
      </c>
      <c r="F107" s="174">
        <v>0</v>
      </c>
      <c r="G107" s="174">
        <v>0</v>
      </c>
      <c r="H107" s="174">
        <f t="shared" si="3"/>
        <v>0</v>
      </c>
      <c r="I107" s="226"/>
      <c r="J107" s="174">
        <v>0</v>
      </c>
      <c r="K107" s="174">
        <v>0</v>
      </c>
      <c r="L107" s="174">
        <v>0</v>
      </c>
      <c r="M107" s="174"/>
      <c r="N107" s="221"/>
      <c r="O107" s="198"/>
      <c r="P107" s="198">
        <v>0</v>
      </c>
      <c r="Q107" s="198">
        <v>0</v>
      </c>
      <c r="R107" s="199">
        <f t="shared" si="4"/>
        <v>0</v>
      </c>
      <c r="U107" s="199"/>
      <c r="V107" s="199">
        <v>0</v>
      </c>
      <c r="W107" s="291"/>
      <c r="X107" s="291"/>
      <c r="Y107" s="291"/>
      <c r="Z107" s="291"/>
      <c r="AA107" s="291">
        <v>0</v>
      </c>
      <c r="AB107" s="291">
        <v>0</v>
      </c>
      <c r="AC107" s="291">
        <v>0</v>
      </c>
      <c r="AE107" s="176">
        <f t="shared" si="6"/>
        <v>0</v>
      </c>
      <c r="AF107" s="176">
        <f t="shared" si="6"/>
        <v>0</v>
      </c>
    </row>
    <row r="108" spans="1:32">
      <c r="A108" s="168">
        <v>4036</v>
      </c>
      <c r="B108" s="2">
        <v>147440</v>
      </c>
      <c r="C108" s="2" t="s">
        <v>310</v>
      </c>
      <c r="D108" s="30"/>
      <c r="E108" s="174">
        <v>0</v>
      </c>
      <c r="F108" s="174">
        <v>0</v>
      </c>
      <c r="G108" s="174">
        <v>0</v>
      </c>
      <c r="H108" s="174">
        <f t="shared" si="3"/>
        <v>0</v>
      </c>
      <c r="I108" s="226"/>
      <c r="J108" s="174">
        <v>0</v>
      </c>
      <c r="K108" s="174">
        <v>0</v>
      </c>
      <c r="L108" s="174">
        <v>0</v>
      </c>
      <c r="M108" s="174"/>
      <c r="N108" s="221"/>
      <c r="O108" s="198"/>
      <c r="P108" s="198">
        <v>0</v>
      </c>
      <c r="Q108" s="198">
        <v>0</v>
      </c>
      <c r="R108" s="199">
        <f t="shared" si="4"/>
        <v>0</v>
      </c>
      <c r="U108" s="199"/>
      <c r="V108" s="199">
        <v>0</v>
      </c>
      <c r="W108" s="291"/>
      <c r="X108" s="291"/>
      <c r="Y108" s="291"/>
      <c r="Z108" s="291"/>
      <c r="AA108" s="291">
        <v>0</v>
      </c>
      <c r="AB108" s="291">
        <v>0</v>
      </c>
      <c r="AC108" s="291">
        <v>0</v>
      </c>
      <c r="AE108" s="176">
        <f t="shared" si="6"/>
        <v>0</v>
      </c>
      <c r="AF108" s="176">
        <f t="shared" si="6"/>
        <v>0</v>
      </c>
    </row>
    <row r="109" spans="1:32">
      <c r="A109" s="168">
        <v>5407</v>
      </c>
      <c r="B109" s="2">
        <v>137045</v>
      </c>
      <c r="C109" s="2" t="s">
        <v>311</v>
      </c>
      <c r="D109" s="30"/>
      <c r="E109" s="174">
        <v>0</v>
      </c>
      <c r="F109" s="174">
        <v>0</v>
      </c>
      <c r="G109" s="174">
        <v>0</v>
      </c>
      <c r="H109" s="174">
        <f t="shared" si="3"/>
        <v>0</v>
      </c>
      <c r="I109" s="226"/>
      <c r="J109" s="174">
        <v>0</v>
      </c>
      <c r="K109" s="174">
        <v>0</v>
      </c>
      <c r="L109" s="174">
        <v>0</v>
      </c>
      <c r="M109" s="174"/>
      <c r="N109" s="221"/>
      <c r="O109" s="198"/>
      <c r="P109" s="198">
        <v>0</v>
      </c>
      <c r="Q109" s="198">
        <v>0</v>
      </c>
      <c r="R109" s="199">
        <f t="shared" si="4"/>
        <v>0</v>
      </c>
      <c r="U109" s="199"/>
      <c r="V109" s="199">
        <v>0</v>
      </c>
      <c r="W109" s="291"/>
      <c r="X109" s="291"/>
      <c r="Y109" s="291"/>
      <c r="Z109" s="291"/>
      <c r="AA109" s="291">
        <v>0</v>
      </c>
      <c r="AB109" s="291">
        <v>0</v>
      </c>
      <c r="AC109" s="291">
        <v>0</v>
      </c>
      <c r="AE109" s="176">
        <f t="shared" si="6"/>
        <v>0</v>
      </c>
      <c r="AF109" s="176">
        <f t="shared" si="6"/>
        <v>0</v>
      </c>
    </row>
    <row r="110" spans="1:32">
      <c r="A110" s="168">
        <v>5406</v>
      </c>
      <c r="B110" s="2">
        <v>137044</v>
      </c>
      <c r="C110" s="2" t="s">
        <v>312</v>
      </c>
      <c r="D110" s="30"/>
      <c r="E110" s="174">
        <v>0</v>
      </c>
      <c r="F110" s="174">
        <v>0</v>
      </c>
      <c r="G110" s="174">
        <v>0</v>
      </c>
      <c r="H110" s="174">
        <f t="shared" si="3"/>
        <v>0</v>
      </c>
      <c r="I110" s="226"/>
      <c r="J110" s="174">
        <v>0</v>
      </c>
      <c r="K110" s="174">
        <v>0</v>
      </c>
      <c r="L110" s="174">
        <v>0</v>
      </c>
      <c r="M110" s="174"/>
      <c r="N110" s="221"/>
      <c r="O110" s="198"/>
      <c r="P110" s="198">
        <v>0</v>
      </c>
      <c r="Q110" s="198">
        <v>0</v>
      </c>
      <c r="R110" s="199">
        <f t="shared" si="4"/>
        <v>0</v>
      </c>
      <c r="U110" s="199"/>
      <c r="V110" s="199">
        <v>0</v>
      </c>
      <c r="W110" s="291"/>
      <c r="X110" s="291"/>
      <c r="Y110" s="291"/>
      <c r="Z110" s="291"/>
      <c r="AA110" s="291">
        <v>0</v>
      </c>
      <c r="AB110" s="291">
        <v>0</v>
      </c>
      <c r="AC110" s="291">
        <v>0</v>
      </c>
      <c r="AE110" s="176">
        <f t="shared" si="6"/>
        <v>0</v>
      </c>
      <c r="AF110" s="176">
        <f t="shared" si="6"/>
        <v>0</v>
      </c>
    </row>
    <row r="111" spans="1:32">
      <c r="A111" s="168">
        <v>5405</v>
      </c>
      <c r="B111" s="2">
        <v>137046</v>
      </c>
      <c r="C111" s="2" t="s">
        <v>313</v>
      </c>
      <c r="D111" s="30"/>
      <c r="E111" s="174">
        <v>0</v>
      </c>
      <c r="F111" s="174">
        <v>0</v>
      </c>
      <c r="G111" s="174">
        <v>0</v>
      </c>
      <c r="H111" s="174">
        <f t="shared" si="3"/>
        <v>0</v>
      </c>
      <c r="I111" s="226"/>
      <c r="J111" s="174">
        <v>0</v>
      </c>
      <c r="K111" s="174">
        <v>0</v>
      </c>
      <c r="L111" s="174">
        <v>0</v>
      </c>
      <c r="M111" s="174"/>
      <c r="N111" s="221"/>
      <c r="O111" s="198"/>
      <c r="P111" s="198">
        <v>0</v>
      </c>
      <c r="Q111" s="198">
        <v>0</v>
      </c>
      <c r="R111" s="199">
        <f t="shared" si="4"/>
        <v>0</v>
      </c>
      <c r="U111" s="199"/>
      <c r="V111" s="199">
        <v>0</v>
      </c>
      <c r="W111" s="291"/>
      <c r="X111" s="291"/>
      <c r="Y111" s="291"/>
      <c r="Z111" s="291"/>
      <c r="AA111" s="291">
        <v>0</v>
      </c>
      <c r="AB111" s="291">
        <v>0</v>
      </c>
      <c r="AC111" s="291">
        <v>0</v>
      </c>
      <c r="AE111" s="176">
        <f t="shared" si="6"/>
        <v>0</v>
      </c>
      <c r="AF111" s="176">
        <f t="shared" si="6"/>
        <v>0</v>
      </c>
    </row>
    <row r="112" spans="1:32">
      <c r="A112" s="168">
        <v>5402</v>
      </c>
      <c r="B112" s="2">
        <v>143562</v>
      </c>
      <c r="C112" s="2" t="s">
        <v>314</v>
      </c>
      <c r="D112" s="30"/>
      <c r="E112" s="174">
        <v>0</v>
      </c>
      <c r="F112" s="174">
        <v>0</v>
      </c>
      <c r="G112" s="174">
        <v>0</v>
      </c>
      <c r="H112" s="174">
        <f t="shared" si="3"/>
        <v>0</v>
      </c>
      <c r="I112" s="226"/>
      <c r="J112" s="174">
        <v>0</v>
      </c>
      <c r="K112" s="174">
        <v>0</v>
      </c>
      <c r="L112" s="174">
        <v>0</v>
      </c>
      <c r="M112" s="174"/>
      <c r="N112" s="221"/>
      <c r="O112" s="198"/>
      <c r="P112" s="198">
        <v>0</v>
      </c>
      <c r="Q112" s="198">
        <v>0</v>
      </c>
      <c r="R112" s="199">
        <f t="shared" si="4"/>
        <v>0</v>
      </c>
      <c r="U112" s="199"/>
      <c r="V112" s="199">
        <v>0</v>
      </c>
      <c r="W112" s="291"/>
      <c r="X112" s="291"/>
      <c r="Y112" s="291"/>
      <c r="Z112" s="291"/>
      <c r="AA112" s="291">
        <v>0</v>
      </c>
      <c r="AB112" s="291">
        <v>0</v>
      </c>
      <c r="AC112" s="291">
        <v>0</v>
      </c>
      <c r="AE112" s="176">
        <f t="shared" si="6"/>
        <v>0</v>
      </c>
      <c r="AF112" s="176">
        <f t="shared" si="6"/>
        <v>0</v>
      </c>
    </row>
    <row r="113" spans="1:32">
      <c r="A113" s="168">
        <v>5404</v>
      </c>
      <c r="B113" s="2">
        <v>137047</v>
      </c>
      <c r="C113" s="2" t="s">
        <v>315</v>
      </c>
      <c r="D113" s="30"/>
      <c r="E113" s="174">
        <v>0</v>
      </c>
      <c r="F113" s="174">
        <v>0</v>
      </c>
      <c r="G113" s="174">
        <v>0</v>
      </c>
      <c r="H113" s="174">
        <f t="shared" si="3"/>
        <v>0</v>
      </c>
      <c r="I113" s="226"/>
      <c r="J113" s="174">
        <v>0</v>
      </c>
      <c r="K113" s="174">
        <v>0</v>
      </c>
      <c r="L113" s="174">
        <v>0</v>
      </c>
      <c r="M113" s="174"/>
      <c r="N113" s="221"/>
      <c r="O113" s="198"/>
      <c r="P113" s="198">
        <v>0</v>
      </c>
      <c r="Q113" s="198">
        <v>0</v>
      </c>
      <c r="R113" s="199">
        <f t="shared" si="4"/>
        <v>0</v>
      </c>
      <c r="U113" s="199"/>
      <c r="V113" s="199">
        <v>0</v>
      </c>
      <c r="W113" s="291"/>
      <c r="X113" s="291"/>
      <c r="Y113" s="291"/>
      <c r="Z113" s="291"/>
      <c r="AA113" s="291">
        <v>0</v>
      </c>
      <c r="AB113" s="291">
        <v>0</v>
      </c>
      <c r="AC113" s="291">
        <v>0</v>
      </c>
      <c r="AE113" s="176">
        <f t="shared" si="6"/>
        <v>0</v>
      </c>
      <c r="AF113" s="176">
        <f t="shared" si="6"/>
        <v>0</v>
      </c>
    </row>
    <row r="114" spans="1:32">
      <c r="A114" s="168">
        <v>4207</v>
      </c>
      <c r="B114" s="2">
        <v>138937</v>
      </c>
      <c r="C114" s="2" t="s">
        <v>316</v>
      </c>
      <c r="D114" s="30"/>
      <c r="E114" s="174">
        <v>0</v>
      </c>
      <c r="F114" s="174">
        <v>0</v>
      </c>
      <c r="G114" s="174">
        <v>0</v>
      </c>
      <c r="H114" s="174">
        <f t="shared" si="3"/>
        <v>0</v>
      </c>
      <c r="I114" s="226"/>
      <c r="J114" s="174">
        <v>0</v>
      </c>
      <c r="K114" s="174">
        <v>0</v>
      </c>
      <c r="L114" s="174">
        <v>0</v>
      </c>
      <c r="M114" s="174"/>
      <c r="N114" s="221"/>
      <c r="O114" s="198"/>
      <c r="P114" s="198">
        <v>0</v>
      </c>
      <c r="Q114" s="198">
        <v>0</v>
      </c>
      <c r="R114" s="199">
        <f t="shared" si="4"/>
        <v>0</v>
      </c>
      <c r="U114" s="199"/>
      <c r="V114" s="199">
        <v>0</v>
      </c>
      <c r="W114" s="291"/>
      <c r="X114" s="291"/>
      <c r="Y114" s="291"/>
      <c r="Z114" s="291"/>
      <c r="AA114" s="291">
        <v>0</v>
      </c>
      <c r="AB114" s="291">
        <v>0</v>
      </c>
      <c r="AC114" s="291">
        <v>0</v>
      </c>
      <c r="AE114" s="176">
        <f t="shared" si="6"/>
        <v>0</v>
      </c>
      <c r="AF114" s="176">
        <f t="shared" si="6"/>
        <v>0</v>
      </c>
    </row>
    <row r="115" spans="1:32">
      <c r="A115" s="168">
        <v>5415</v>
      </c>
      <c r="B115" s="2">
        <v>150320</v>
      </c>
      <c r="C115" s="2" t="s">
        <v>317</v>
      </c>
      <c r="D115" s="30"/>
      <c r="E115" s="174">
        <v>0</v>
      </c>
      <c r="F115" s="174">
        <v>0</v>
      </c>
      <c r="G115" s="174">
        <v>0</v>
      </c>
      <c r="H115" s="174">
        <f t="shared" si="3"/>
        <v>0</v>
      </c>
      <c r="I115" s="226"/>
      <c r="J115" s="174">
        <v>0</v>
      </c>
      <c r="K115" s="174">
        <v>0</v>
      </c>
      <c r="L115" s="174">
        <v>0</v>
      </c>
      <c r="M115" s="174"/>
      <c r="N115" s="221"/>
      <c r="O115" s="198"/>
      <c r="P115" s="198">
        <v>0</v>
      </c>
      <c r="Q115" s="198">
        <v>0</v>
      </c>
      <c r="R115" s="199">
        <f t="shared" si="4"/>
        <v>0</v>
      </c>
      <c r="U115" s="199"/>
      <c r="V115" s="199">
        <v>0</v>
      </c>
      <c r="W115" s="291"/>
      <c r="X115" s="291"/>
      <c r="Y115" s="291"/>
      <c r="Z115" s="291"/>
      <c r="AA115" s="291">
        <v>0</v>
      </c>
      <c r="AB115" s="291">
        <v>0</v>
      </c>
      <c r="AC115" s="291">
        <v>0</v>
      </c>
      <c r="AE115" s="176">
        <f t="shared" si="6"/>
        <v>0</v>
      </c>
      <c r="AF115" s="176">
        <f t="shared" si="6"/>
        <v>0</v>
      </c>
    </row>
    <row r="116" spans="1:32">
      <c r="A116" s="168">
        <v>4060</v>
      </c>
      <c r="B116" s="2">
        <v>136592</v>
      </c>
      <c r="C116" s="2" t="s">
        <v>318</v>
      </c>
      <c r="D116" s="30"/>
      <c r="E116" s="174">
        <v>0</v>
      </c>
      <c r="F116" s="174">
        <v>0</v>
      </c>
      <c r="G116" s="174">
        <v>0</v>
      </c>
      <c r="H116" s="174">
        <f t="shared" si="3"/>
        <v>0</v>
      </c>
      <c r="I116" s="226"/>
      <c r="J116" s="174">
        <v>0</v>
      </c>
      <c r="K116" s="174">
        <v>0</v>
      </c>
      <c r="L116" s="174">
        <v>0</v>
      </c>
      <c r="M116" s="174"/>
      <c r="N116" s="221"/>
      <c r="O116" s="198"/>
      <c r="P116" s="198">
        <v>0</v>
      </c>
      <c r="Q116" s="198">
        <v>0</v>
      </c>
      <c r="R116" s="199">
        <f t="shared" si="4"/>
        <v>0</v>
      </c>
      <c r="U116" s="199"/>
      <c r="V116" s="199">
        <v>0</v>
      </c>
      <c r="W116" s="291"/>
      <c r="X116" s="291"/>
      <c r="Y116" s="291"/>
      <c r="Z116" s="291"/>
      <c r="AA116" s="291">
        <v>0</v>
      </c>
      <c r="AB116" s="291">
        <v>0</v>
      </c>
      <c r="AC116" s="291">
        <v>0</v>
      </c>
      <c r="AE116" s="176">
        <f t="shared" si="6"/>
        <v>0</v>
      </c>
      <c r="AF116" s="176">
        <f t="shared" si="6"/>
        <v>0</v>
      </c>
    </row>
    <row r="117" spans="1:32">
      <c r="A117" s="168">
        <v>4187</v>
      </c>
      <c r="B117" s="2">
        <v>148684</v>
      </c>
      <c r="C117" s="2" t="s">
        <v>319</v>
      </c>
      <c r="D117" s="30"/>
      <c r="E117" s="174">
        <v>0</v>
      </c>
      <c r="F117" s="174">
        <v>0</v>
      </c>
      <c r="G117" s="174">
        <v>0</v>
      </c>
      <c r="H117" s="174">
        <f t="shared" si="3"/>
        <v>0</v>
      </c>
      <c r="I117" s="226"/>
      <c r="J117" s="174">
        <v>0</v>
      </c>
      <c r="K117" s="174">
        <v>0</v>
      </c>
      <c r="L117" s="174">
        <v>0</v>
      </c>
      <c r="M117" s="174"/>
      <c r="N117" s="221"/>
      <c r="O117" s="198"/>
      <c r="P117" s="198">
        <v>0</v>
      </c>
      <c r="Q117" s="198">
        <v>0</v>
      </c>
      <c r="R117" s="199">
        <f t="shared" si="4"/>
        <v>0</v>
      </c>
      <c r="U117" s="199"/>
      <c r="V117" s="199">
        <v>0</v>
      </c>
      <c r="W117" s="291"/>
      <c r="X117" s="291"/>
      <c r="Y117" s="291"/>
      <c r="Z117" s="291"/>
      <c r="AA117" s="291">
        <v>0</v>
      </c>
      <c r="AB117" s="291">
        <v>0</v>
      </c>
      <c r="AC117" s="291">
        <v>0</v>
      </c>
      <c r="AE117" s="176">
        <f t="shared" si="6"/>
        <v>0</v>
      </c>
      <c r="AF117" s="176">
        <f t="shared" si="6"/>
        <v>0</v>
      </c>
    </row>
    <row r="118" spans="1:32">
      <c r="A118" s="168">
        <v>6906</v>
      </c>
      <c r="B118" s="2">
        <v>136152</v>
      </c>
      <c r="C118" s="2" t="s">
        <v>320</v>
      </c>
      <c r="D118" s="30"/>
      <c r="E118" s="174">
        <v>0</v>
      </c>
      <c r="F118" s="174">
        <v>0</v>
      </c>
      <c r="G118" s="174">
        <v>0</v>
      </c>
      <c r="H118" s="174">
        <f t="shared" si="3"/>
        <v>0</v>
      </c>
      <c r="I118" s="226"/>
      <c r="J118" s="174">
        <v>0</v>
      </c>
      <c r="K118" s="174">
        <v>0</v>
      </c>
      <c r="L118" s="174">
        <v>0</v>
      </c>
      <c r="M118" s="174"/>
      <c r="N118" s="221"/>
      <c r="O118" s="198"/>
      <c r="P118" s="198">
        <v>0</v>
      </c>
      <c r="Q118" s="198">
        <v>0</v>
      </c>
      <c r="R118" s="199">
        <f t="shared" si="4"/>
        <v>0</v>
      </c>
      <c r="U118" s="199"/>
      <c r="V118" s="199">
        <v>0</v>
      </c>
      <c r="W118" s="291"/>
      <c r="X118" s="291"/>
      <c r="Y118" s="291"/>
      <c r="Z118" s="291"/>
      <c r="AA118" s="291">
        <v>0</v>
      </c>
      <c r="AB118" s="291">
        <v>0</v>
      </c>
      <c r="AC118" s="291">
        <v>0</v>
      </c>
      <c r="AE118" s="176">
        <f t="shared" si="6"/>
        <v>0</v>
      </c>
      <c r="AF118" s="176">
        <f t="shared" si="6"/>
        <v>0</v>
      </c>
    </row>
    <row r="119" spans="1:32">
      <c r="A119" s="168">
        <v>5414</v>
      </c>
      <c r="B119" s="2">
        <v>136590</v>
      </c>
      <c r="C119" s="2" t="s">
        <v>321</v>
      </c>
      <c r="D119" s="30"/>
      <c r="E119" s="174">
        <v>0</v>
      </c>
      <c r="F119" s="174">
        <v>0</v>
      </c>
      <c r="G119" s="174">
        <v>0</v>
      </c>
      <c r="H119" s="174">
        <f t="shared" si="3"/>
        <v>0</v>
      </c>
      <c r="I119" s="226"/>
      <c r="J119" s="174">
        <v>0</v>
      </c>
      <c r="K119" s="174">
        <v>0</v>
      </c>
      <c r="L119" s="174">
        <v>0</v>
      </c>
      <c r="M119" s="174"/>
      <c r="N119" s="221"/>
      <c r="O119" s="198"/>
      <c r="P119" s="198">
        <v>0</v>
      </c>
      <c r="Q119" s="198">
        <v>0</v>
      </c>
      <c r="R119" s="199">
        <f t="shared" si="4"/>
        <v>0</v>
      </c>
      <c r="U119" s="199"/>
      <c r="V119" s="199">
        <v>0</v>
      </c>
      <c r="W119" s="291"/>
      <c r="X119" s="291"/>
      <c r="Y119" s="291"/>
      <c r="Z119" s="291"/>
      <c r="AA119" s="291">
        <v>0</v>
      </c>
      <c r="AB119" s="291">
        <v>0</v>
      </c>
      <c r="AC119" s="291">
        <v>0</v>
      </c>
      <c r="AE119" s="176">
        <f t="shared" si="6"/>
        <v>0</v>
      </c>
      <c r="AF119" s="176">
        <f t="shared" si="6"/>
        <v>0</v>
      </c>
    </row>
    <row r="120" spans="1:32">
      <c r="A120" s="168">
        <v>2209</v>
      </c>
      <c r="B120" s="2">
        <v>149131</v>
      </c>
      <c r="C120" s="2" t="s">
        <v>322</v>
      </c>
      <c r="D120" s="30"/>
      <c r="E120" s="174">
        <v>0</v>
      </c>
      <c r="F120" s="174">
        <v>0</v>
      </c>
      <c r="G120" s="174">
        <v>0</v>
      </c>
      <c r="H120" s="174">
        <f t="shared" si="3"/>
        <v>0</v>
      </c>
      <c r="I120" s="226"/>
      <c r="J120" s="174">
        <v>0</v>
      </c>
      <c r="K120" s="174">
        <v>0</v>
      </c>
      <c r="L120" s="174">
        <v>0</v>
      </c>
      <c r="M120" s="174"/>
      <c r="N120" s="221"/>
      <c r="O120" s="198"/>
      <c r="P120" s="198">
        <v>0</v>
      </c>
      <c r="Q120" s="198">
        <v>0</v>
      </c>
      <c r="R120" s="199">
        <f t="shared" si="4"/>
        <v>0</v>
      </c>
      <c r="U120" s="199"/>
      <c r="V120" s="199">
        <v>0</v>
      </c>
      <c r="W120" s="291"/>
      <c r="X120" s="291"/>
      <c r="Y120" s="291"/>
      <c r="Z120" s="291"/>
      <c r="AA120" s="291">
        <v>0</v>
      </c>
      <c r="AB120" s="291">
        <v>0</v>
      </c>
      <c r="AC120" s="291">
        <v>0</v>
      </c>
      <c r="AE120" s="176">
        <f t="shared" si="6"/>
        <v>0</v>
      </c>
      <c r="AF120" s="176">
        <f t="shared" si="6"/>
        <v>0</v>
      </c>
    </row>
    <row r="121" spans="1:32">
      <c r="A121" s="168">
        <v>2073</v>
      </c>
      <c r="B121" s="2">
        <v>138889</v>
      </c>
      <c r="C121" s="2" t="s">
        <v>323</v>
      </c>
      <c r="D121" s="30"/>
      <c r="E121" s="174">
        <v>0</v>
      </c>
      <c r="F121" s="174">
        <v>0</v>
      </c>
      <c r="G121" s="174">
        <v>0</v>
      </c>
      <c r="H121" s="174">
        <f t="shared" si="3"/>
        <v>0</v>
      </c>
      <c r="I121" s="226"/>
      <c r="J121" s="174">
        <v>0</v>
      </c>
      <c r="K121" s="174">
        <v>0</v>
      </c>
      <c r="L121" s="174">
        <v>0</v>
      </c>
      <c r="M121" s="174"/>
      <c r="N121" s="221"/>
      <c r="O121" s="198"/>
      <c r="P121" s="198">
        <v>0</v>
      </c>
      <c r="Q121" s="198">
        <v>0</v>
      </c>
      <c r="R121" s="199">
        <f t="shared" si="4"/>
        <v>0</v>
      </c>
      <c r="U121" s="199"/>
      <c r="V121" s="199">
        <v>0</v>
      </c>
      <c r="W121" s="291"/>
      <c r="X121" s="291"/>
      <c r="Y121" s="291"/>
      <c r="Z121" s="291"/>
      <c r="AA121" s="291">
        <v>0</v>
      </c>
      <c r="AB121" s="291">
        <v>0</v>
      </c>
      <c r="AC121" s="291">
        <v>0</v>
      </c>
      <c r="AE121" s="176">
        <f t="shared" si="6"/>
        <v>0</v>
      </c>
      <c r="AF121" s="176">
        <f t="shared" si="6"/>
        <v>0</v>
      </c>
    </row>
    <row r="122" spans="1:32">
      <c r="A122" s="168">
        <v>2119</v>
      </c>
      <c r="B122" s="2">
        <v>150181</v>
      </c>
      <c r="C122" s="2" t="s">
        <v>324</v>
      </c>
      <c r="D122" s="30"/>
      <c r="E122" s="174">
        <v>0</v>
      </c>
      <c r="F122" s="174">
        <v>0</v>
      </c>
      <c r="G122" s="174">
        <v>0</v>
      </c>
      <c r="H122" s="174">
        <f t="shared" si="3"/>
        <v>0</v>
      </c>
      <c r="I122" s="226"/>
      <c r="J122" s="174">
        <v>0</v>
      </c>
      <c r="K122" s="174">
        <v>0</v>
      </c>
      <c r="L122" s="174">
        <v>0</v>
      </c>
      <c r="M122" s="174"/>
      <c r="N122" s="221"/>
      <c r="O122" s="198"/>
      <c r="P122" s="198">
        <v>0</v>
      </c>
      <c r="Q122" s="198">
        <v>0</v>
      </c>
      <c r="R122" s="199">
        <f t="shared" si="4"/>
        <v>0</v>
      </c>
      <c r="U122" s="199"/>
      <c r="V122" s="199">
        <v>23186.81</v>
      </c>
      <c r="W122" s="291"/>
      <c r="X122" s="291"/>
      <c r="Y122" s="291"/>
      <c r="Z122" s="291"/>
      <c r="AA122" s="291">
        <v>0</v>
      </c>
      <c r="AB122" s="291">
        <v>0</v>
      </c>
      <c r="AC122" s="291">
        <v>40253.574615384612</v>
      </c>
      <c r="AE122" s="176">
        <f t="shared" si="6"/>
        <v>0</v>
      </c>
      <c r="AF122" s="176">
        <f t="shared" si="6"/>
        <v>63440.38461538461</v>
      </c>
    </row>
    <row r="123" spans="1:32">
      <c r="A123" s="168">
        <v>2096</v>
      </c>
      <c r="B123" s="2">
        <v>139003</v>
      </c>
      <c r="C123" s="2" t="s">
        <v>325</v>
      </c>
      <c r="D123" s="30"/>
      <c r="E123" s="174">
        <v>0</v>
      </c>
      <c r="F123" s="174">
        <v>0</v>
      </c>
      <c r="G123" s="174">
        <v>0</v>
      </c>
      <c r="H123" s="174">
        <f t="shared" si="3"/>
        <v>0</v>
      </c>
      <c r="I123" s="226"/>
      <c r="J123" s="174">
        <v>0</v>
      </c>
      <c r="K123" s="174">
        <v>0</v>
      </c>
      <c r="L123" s="174">
        <v>0</v>
      </c>
      <c r="M123" s="174"/>
      <c r="N123" s="221"/>
      <c r="O123" s="198"/>
      <c r="P123" s="198">
        <v>0</v>
      </c>
      <c r="Q123" s="198">
        <v>0</v>
      </c>
      <c r="R123" s="199">
        <f t="shared" si="4"/>
        <v>0</v>
      </c>
      <c r="U123" s="199"/>
      <c r="V123" s="199">
        <v>0</v>
      </c>
      <c r="W123" s="291"/>
      <c r="X123" s="291"/>
      <c r="Y123" s="291"/>
      <c r="Z123" s="291"/>
      <c r="AA123" s="291">
        <v>0</v>
      </c>
      <c r="AB123" s="291">
        <v>0</v>
      </c>
      <c r="AC123" s="291">
        <v>0</v>
      </c>
      <c r="AE123" s="176">
        <f t="shared" si="6"/>
        <v>0</v>
      </c>
      <c r="AF123" s="176">
        <f t="shared" si="6"/>
        <v>0</v>
      </c>
    </row>
    <row r="124" spans="1:32">
      <c r="A124" s="168">
        <v>7005</v>
      </c>
      <c r="B124" s="2">
        <v>148722</v>
      </c>
      <c r="C124" s="2" t="s">
        <v>326</v>
      </c>
      <c r="D124" s="30"/>
      <c r="E124" s="174">
        <v>105500</v>
      </c>
      <c r="F124" s="174">
        <v>683660.26146007353</v>
      </c>
      <c r="G124" s="174">
        <v>66000</v>
      </c>
      <c r="H124" s="174">
        <f t="shared" si="3"/>
        <v>855160.26146007353</v>
      </c>
      <c r="I124" s="226"/>
      <c r="J124" s="174">
        <v>173076.92307692324</v>
      </c>
      <c r="K124" s="174">
        <v>0</v>
      </c>
      <c r="L124" s="174">
        <v>0</v>
      </c>
      <c r="M124" s="174"/>
      <c r="N124" s="221"/>
      <c r="O124" s="198"/>
      <c r="P124" s="198">
        <v>0</v>
      </c>
      <c r="Q124" s="198">
        <v>0</v>
      </c>
      <c r="R124" s="199">
        <f t="shared" si="4"/>
        <v>0</v>
      </c>
      <c r="U124" s="199"/>
      <c r="V124" s="199">
        <v>0</v>
      </c>
      <c r="W124" s="291"/>
      <c r="X124" s="291"/>
      <c r="Y124" s="291"/>
      <c r="Z124" s="291"/>
      <c r="AA124" s="291">
        <v>0</v>
      </c>
      <c r="AB124" s="291">
        <v>0</v>
      </c>
      <c r="AC124" s="291">
        <v>0</v>
      </c>
      <c r="AE124" s="176">
        <f t="shared" si="6"/>
        <v>105500</v>
      </c>
      <c r="AF124" s="176">
        <f t="shared" si="6"/>
        <v>922737.18453699676</v>
      </c>
    </row>
    <row r="125" spans="1:32">
      <c r="A125" s="168">
        <v>2453</v>
      </c>
      <c r="B125" s="2">
        <v>140502</v>
      </c>
      <c r="C125" s="2" t="s">
        <v>327</v>
      </c>
      <c r="D125" s="30"/>
      <c r="E125" s="174">
        <v>0</v>
      </c>
      <c r="F125" s="174">
        <v>0</v>
      </c>
      <c r="G125" s="174">
        <v>0</v>
      </c>
      <c r="H125" s="174">
        <f t="shared" si="3"/>
        <v>0</v>
      </c>
      <c r="I125" s="226"/>
      <c r="J125" s="174">
        <v>0</v>
      </c>
      <c r="K125" s="174">
        <v>0</v>
      </c>
      <c r="L125" s="174">
        <v>0</v>
      </c>
      <c r="M125" s="174"/>
      <c r="N125" s="221"/>
      <c r="O125" s="198"/>
      <c r="P125" s="198">
        <v>0</v>
      </c>
      <c r="Q125" s="198">
        <v>0</v>
      </c>
      <c r="R125" s="199">
        <f t="shared" si="4"/>
        <v>0</v>
      </c>
      <c r="U125" s="199"/>
      <c r="V125" s="199">
        <v>28983.52</v>
      </c>
      <c r="W125" s="291"/>
      <c r="X125" s="291"/>
      <c r="Y125" s="291"/>
      <c r="Z125" s="291"/>
      <c r="AA125" s="291">
        <v>0</v>
      </c>
      <c r="AB125" s="291">
        <v>0</v>
      </c>
      <c r="AC125" s="291">
        <v>28683.787692307698</v>
      </c>
      <c r="AE125" s="176">
        <f t="shared" si="6"/>
        <v>0</v>
      </c>
      <c r="AF125" s="176">
        <f t="shared" si="6"/>
        <v>57667.307692307702</v>
      </c>
    </row>
    <row r="126" spans="1:32">
      <c r="A126" s="168">
        <v>2207</v>
      </c>
      <c r="B126" s="2">
        <v>148653</v>
      </c>
      <c r="C126" s="2" t="s">
        <v>328</v>
      </c>
      <c r="D126" s="30"/>
      <c r="E126" s="174">
        <v>179350</v>
      </c>
      <c r="F126" s="174">
        <v>2087633.8986309934</v>
      </c>
      <c r="G126" s="174">
        <v>112200</v>
      </c>
      <c r="H126" s="174">
        <f t="shared" si="3"/>
        <v>2379183.8986309934</v>
      </c>
      <c r="I126" s="226"/>
      <c r="J126" s="174">
        <v>138461.53846153861</v>
      </c>
      <c r="K126" s="174">
        <v>126140</v>
      </c>
      <c r="L126" s="174">
        <v>0</v>
      </c>
      <c r="M126" s="174"/>
      <c r="N126" s="221"/>
      <c r="O126" s="198"/>
      <c r="P126" s="198">
        <v>0</v>
      </c>
      <c r="Q126" s="198">
        <v>0</v>
      </c>
      <c r="R126" s="199">
        <f t="shared" si="4"/>
        <v>0</v>
      </c>
      <c r="U126" s="199"/>
      <c r="V126" s="199">
        <v>0</v>
      </c>
      <c r="W126" s="291"/>
      <c r="X126" s="291"/>
      <c r="Y126" s="291"/>
      <c r="Z126" s="291"/>
      <c r="AA126" s="291">
        <v>0</v>
      </c>
      <c r="AB126" s="291">
        <v>0</v>
      </c>
      <c r="AC126" s="291">
        <v>0</v>
      </c>
      <c r="AE126" s="176">
        <f t="shared" si="6"/>
        <v>179350</v>
      </c>
      <c r="AF126" s="176">
        <f t="shared" si="6"/>
        <v>2464435.4370925319</v>
      </c>
    </row>
    <row r="127" spans="1:32">
      <c r="A127" s="168">
        <v>4029</v>
      </c>
      <c r="B127" s="2">
        <v>145120</v>
      </c>
      <c r="C127" s="2" t="s">
        <v>329</v>
      </c>
      <c r="D127" s="30"/>
      <c r="E127" s="174">
        <v>0</v>
      </c>
      <c r="F127" s="174">
        <v>0</v>
      </c>
      <c r="G127" s="174">
        <v>0</v>
      </c>
      <c r="H127" s="174">
        <f t="shared" si="3"/>
        <v>0</v>
      </c>
      <c r="I127" s="226"/>
      <c r="J127" s="174">
        <v>0</v>
      </c>
      <c r="K127" s="174">
        <v>0</v>
      </c>
      <c r="L127" s="174">
        <v>0</v>
      </c>
      <c r="M127" s="174"/>
      <c r="N127" s="221"/>
      <c r="O127" s="198"/>
      <c r="P127" s="198">
        <v>0</v>
      </c>
      <c r="Q127" s="198">
        <v>0</v>
      </c>
      <c r="R127" s="199">
        <f t="shared" si="4"/>
        <v>0</v>
      </c>
      <c r="U127" s="199"/>
      <c r="V127" s="199">
        <v>0</v>
      </c>
      <c r="W127" s="291"/>
      <c r="X127" s="291"/>
      <c r="Y127" s="291"/>
      <c r="Z127" s="291"/>
      <c r="AA127" s="291">
        <v>0</v>
      </c>
      <c r="AB127" s="291">
        <v>0</v>
      </c>
      <c r="AC127" s="291">
        <v>0</v>
      </c>
      <c r="AE127" s="176">
        <f t="shared" si="6"/>
        <v>0</v>
      </c>
      <c r="AF127" s="176">
        <f t="shared" si="6"/>
        <v>0</v>
      </c>
    </row>
    <row r="128" spans="1:32">
      <c r="A128" s="168">
        <v>2162</v>
      </c>
      <c r="B128" s="2">
        <v>141977</v>
      </c>
      <c r="C128" s="2" t="s">
        <v>330</v>
      </c>
      <c r="D128" s="30"/>
      <c r="E128" s="174">
        <v>0</v>
      </c>
      <c r="F128" s="174">
        <v>0</v>
      </c>
      <c r="G128" s="174">
        <v>0</v>
      </c>
      <c r="H128" s="174">
        <f t="shared" si="3"/>
        <v>0</v>
      </c>
      <c r="I128" s="226"/>
      <c r="J128" s="174">
        <v>0</v>
      </c>
      <c r="K128" s="174">
        <v>0</v>
      </c>
      <c r="L128" s="174">
        <v>0</v>
      </c>
      <c r="M128" s="174"/>
      <c r="N128" s="221"/>
      <c r="O128" s="198"/>
      <c r="P128" s="198">
        <v>0</v>
      </c>
      <c r="Q128" s="198">
        <v>0</v>
      </c>
      <c r="R128" s="199">
        <f t="shared" si="4"/>
        <v>0</v>
      </c>
      <c r="U128" s="199"/>
      <c r="V128" s="199">
        <v>0</v>
      </c>
      <c r="W128" s="291"/>
      <c r="X128" s="291"/>
      <c r="Y128" s="291"/>
      <c r="Z128" s="291"/>
      <c r="AA128" s="291">
        <v>0</v>
      </c>
      <c r="AB128" s="291">
        <v>0</v>
      </c>
      <c r="AC128" s="291">
        <v>0</v>
      </c>
      <c r="AE128" s="176">
        <f t="shared" si="6"/>
        <v>0</v>
      </c>
      <c r="AF128" s="176">
        <f t="shared" si="6"/>
        <v>0</v>
      </c>
    </row>
    <row r="129" spans="1:32">
      <c r="A129" s="168">
        <v>2075</v>
      </c>
      <c r="B129" s="2">
        <v>138998</v>
      </c>
      <c r="C129" s="2" t="s">
        <v>331</v>
      </c>
      <c r="D129" s="30"/>
      <c r="E129" s="174">
        <v>0</v>
      </c>
      <c r="F129" s="174">
        <v>0</v>
      </c>
      <c r="G129" s="174">
        <v>0</v>
      </c>
      <c r="H129" s="174">
        <f t="shared" si="3"/>
        <v>0</v>
      </c>
      <c r="I129" s="226"/>
      <c r="J129" s="174">
        <v>0</v>
      </c>
      <c r="K129" s="174">
        <v>0</v>
      </c>
      <c r="L129" s="174">
        <v>0</v>
      </c>
      <c r="M129" s="174"/>
      <c r="N129" s="221"/>
      <c r="O129" s="198"/>
      <c r="P129" s="198">
        <v>0</v>
      </c>
      <c r="Q129" s="198">
        <v>0</v>
      </c>
      <c r="R129" s="199">
        <f t="shared" si="4"/>
        <v>0</v>
      </c>
      <c r="U129" s="199"/>
      <c r="V129" s="199">
        <v>0</v>
      </c>
      <c r="W129" s="291"/>
      <c r="X129" s="291"/>
      <c r="Y129" s="291"/>
      <c r="Z129" s="291"/>
      <c r="AA129" s="291">
        <v>0</v>
      </c>
      <c r="AB129" s="291">
        <v>0</v>
      </c>
      <c r="AC129" s="291">
        <v>0</v>
      </c>
      <c r="AE129" s="176">
        <f t="shared" si="6"/>
        <v>0</v>
      </c>
      <c r="AF129" s="176">
        <f t="shared" si="6"/>
        <v>0</v>
      </c>
    </row>
    <row r="130" spans="1:32">
      <c r="A130" s="168">
        <v>2132</v>
      </c>
      <c r="B130" s="2">
        <v>146701</v>
      </c>
      <c r="C130" s="2" t="s">
        <v>332</v>
      </c>
      <c r="D130" s="30"/>
      <c r="E130" s="174">
        <v>0</v>
      </c>
      <c r="F130" s="174">
        <v>0</v>
      </c>
      <c r="G130" s="174">
        <v>0</v>
      </c>
      <c r="H130" s="174">
        <f t="shared" si="3"/>
        <v>0</v>
      </c>
      <c r="I130" s="226"/>
      <c r="J130" s="174">
        <v>0</v>
      </c>
      <c r="K130" s="174">
        <v>0</v>
      </c>
      <c r="L130" s="174">
        <v>0</v>
      </c>
      <c r="M130" s="174"/>
      <c r="N130" s="221"/>
      <c r="O130" s="198"/>
      <c r="P130" s="198">
        <v>0</v>
      </c>
      <c r="Q130" s="198">
        <v>0</v>
      </c>
      <c r="R130" s="199">
        <f t="shared" si="4"/>
        <v>0</v>
      </c>
      <c r="U130" s="199">
        <v>75000</v>
      </c>
      <c r="V130" s="199">
        <v>0</v>
      </c>
      <c r="W130" s="291"/>
      <c r="X130" s="291"/>
      <c r="Y130" s="291"/>
      <c r="Z130" s="291"/>
      <c r="AA130" s="291">
        <v>0</v>
      </c>
      <c r="AB130" s="291">
        <v>0</v>
      </c>
      <c r="AC130" s="291">
        <v>0</v>
      </c>
      <c r="AE130" s="176">
        <f t="shared" si="6"/>
        <v>0</v>
      </c>
      <c r="AF130" s="176">
        <f t="shared" si="6"/>
        <v>75000</v>
      </c>
    </row>
    <row r="131" spans="1:32">
      <c r="A131" s="168">
        <v>3322</v>
      </c>
      <c r="B131" s="2">
        <v>151625</v>
      </c>
      <c r="C131" s="2" t="s">
        <v>12</v>
      </c>
      <c r="D131" s="30"/>
      <c r="E131" s="174">
        <v>0</v>
      </c>
      <c r="F131" s="174">
        <v>0</v>
      </c>
      <c r="G131" s="174">
        <v>0</v>
      </c>
      <c r="H131" s="174">
        <f t="shared" si="3"/>
        <v>0</v>
      </c>
      <c r="I131" s="226"/>
      <c r="J131" s="174">
        <v>0</v>
      </c>
      <c r="K131" s="174">
        <v>0</v>
      </c>
      <c r="L131" s="174">
        <v>0</v>
      </c>
      <c r="M131" s="174"/>
      <c r="N131" s="221"/>
      <c r="O131" s="198"/>
      <c r="P131" s="198">
        <v>0</v>
      </c>
      <c r="Q131" s="198">
        <v>0</v>
      </c>
      <c r="R131" s="199">
        <f t="shared" si="4"/>
        <v>0</v>
      </c>
      <c r="U131" s="199"/>
      <c r="V131" s="199">
        <v>0</v>
      </c>
      <c r="W131" s="291"/>
      <c r="X131" s="291"/>
      <c r="Y131" s="291"/>
      <c r="Z131" s="291"/>
      <c r="AA131" s="291">
        <v>0</v>
      </c>
      <c r="AB131" s="291">
        <v>0</v>
      </c>
      <c r="AC131" s="291">
        <v>0</v>
      </c>
      <c r="AE131" s="176">
        <f t="shared" si="6"/>
        <v>0</v>
      </c>
      <c r="AF131" s="176">
        <f t="shared" si="6"/>
        <v>0</v>
      </c>
    </row>
    <row r="132" spans="1:32">
      <c r="A132" s="168">
        <v>7004</v>
      </c>
      <c r="B132" s="2">
        <v>148225</v>
      </c>
      <c r="C132" s="2" t="s">
        <v>333</v>
      </c>
      <c r="D132" s="30"/>
      <c r="E132" s="174">
        <v>327050</v>
      </c>
      <c r="F132" s="174">
        <v>3156151.859724185</v>
      </c>
      <c r="G132" s="174">
        <v>204600</v>
      </c>
      <c r="H132" s="174">
        <f t="shared" si="3"/>
        <v>3687801.859724185</v>
      </c>
      <c r="I132" s="226"/>
      <c r="J132" s="174">
        <v>633115.38461538462</v>
      </c>
      <c r="K132" s="174">
        <v>40086</v>
      </c>
      <c r="L132" s="174">
        <v>0</v>
      </c>
      <c r="M132" s="174"/>
      <c r="N132" s="221"/>
      <c r="O132" s="198"/>
      <c r="P132" s="198">
        <v>0</v>
      </c>
      <c r="Q132" s="198">
        <v>0</v>
      </c>
      <c r="R132" s="199">
        <f t="shared" si="4"/>
        <v>0</v>
      </c>
      <c r="U132" s="199"/>
      <c r="V132" s="199">
        <v>0</v>
      </c>
      <c r="W132" s="291"/>
      <c r="X132" s="291"/>
      <c r="Y132" s="291"/>
      <c r="Z132" s="291"/>
      <c r="AA132" s="291">
        <v>0</v>
      </c>
      <c r="AB132" s="291">
        <v>84149.27311258344</v>
      </c>
      <c r="AC132" s="291">
        <v>0</v>
      </c>
      <c r="AE132" s="176">
        <f t="shared" si="6"/>
        <v>327050</v>
      </c>
      <c r="AF132" s="176">
        <f t="shared" si="6"/>
        <v>4118102.5174521529</v>
      </c>
    </row>
    <row r="133" spans="1:32">
      <c r="A133" s="168">
        <v>2463</v>
      </c>
      <c r="B133" s="2">
        <v>139452</v>
      </c>
      <c r="C133" s="2" t="s">
        <v>334</v>
      </c>
      <c r="D133" s="30"/>
      <c r="E133" s="174">
        <v>0</v>
      </c>
      <c r="F133" s="174">
        <v>0</v>
      </c>
      <c r="G133" s="174">
        <v>0</v>
      </c>
      <c r="H133" s="174">
        <f t="shared" si="3"/>
        <v>0</v>
      </c>
      <c r="I133" s="226"/>
      <c r="J133" s="174">
        <v>0</v>
      </c>
      <c r="K133" s="174">
        <v>0</v>
      </c>
      <c r="L133" s="174">
        <v>0</v>
      </c>
      <c r="M133" s="174"/>
      <c r="N133" s="221"/>
      <c r="O133" s="198"/>
      <c r="P133" s="198">
        <v>0</v>
      </c>
      <c r="Q133" s="198">
        <v>0</v>
      </c>
      <c r="R133" s="199">
        <f t="shared" si="4"/>
        <v>0</v>
      </c>
      <c r="U133" s="199"/>
      <c r="V133" s="199">
        <v>0</v>
      </c>
      <c r="W133" s="291"/>
      <c r="X133" s="291"/>
      <c r="Y133" s="291"/>
      <c r="Z133" s="291"/>
      <c r="AA133" s="291">
        <v>0</v>
      </c>
      <c r="AB133" s="291">
        <v>0</v>
      </c>
      <c r="AC133" s="291">
        <v>0</v>
      </c>
      <c r="AE133" s="176">
        <f t="shared" si="6"/>
        <v>0</v>
      </c>
      <c r="AF133" s="176">
        <f t="shared" si="6"/>
        <v>0</v>
      </c>
    </row>
    <row r="134" spans="1:32">
      <c r="A134" s="168">
        <v>2100</v>
      </c>
      <c r="B134" s="2">
        <v>139014</v>
      </c>
      <c r="C134" s="2" t="s">
        <v>335</v>
      </c>
      <c r="D134" s="30"/>
      <c r="E134" s="174">
        <v>0</v>
      </c>
      <c r="F134" s="174">
        <v>0</v>
      </c>
      <c r="G134" s="174">
        <v>0</v>
      </c>
      <c r="H134" s="174">
        <f t="shared" si="3"/>
        <v>0</v>
      </c>
      <c r="I134" s="226"/>
      <c r="J134" s="174">
        <v>0</v>
      </c>
      <c r="K134" s="174">
        <v>0</v>
      </c>
      <c r="L134" s="174">
        <v>0</v>
      </c>
      <c r="M134" s="174"/>
      <c r="N134" s="221"/>
      <c r="O134" s="198"/>
      <c r="P134" s="198">
        <v>0</v>
      </c>
      <c r="Q134" s="198">
        <v>0</v>
      </c>
      <c r="R134" s="199">
        <f t="shared" si="4"/>
        <v>0</v>
      </c>
      <c r="U134" s="199"/>
      <c r="V134" s="199">
        <v>0</v>
      </c>
      <c r="W134" s="291"/>
      <c r="X134" s="291"/>
      <c r="Y134" s="291"/>
      <c r="Z134" s="291"/>
      <c r="AA134" s="291">
        <v>0</v>
      </c>
      <c r="AB134" s="291">
        <v>0</v>
      </c>
      <c r="AC134" s="291">
        <v>0</v>
      </c>
      <c r="AE134" s="176">
        <f t="shared" si="6"/>
        <v>0</v>
      </c>
      <c r="AF134" s="176">
        <f t="shared" si="6"/>
        <v>0</v>
      </c>
    </row>
    <row r="135" spans="1:32">
      <c r="A135" s="168">
        <v>2070</v>
      </c>
      <c r="B135" s="2">
        <v>138864</v>
      </c>
      <c r="C135" s="2" t="s">
        <v>336</v>
      </c>
      <c r="D135" s="30"/>
      <c r="E135" s="174">
        <v>0</v>
      </c>
      <c r="F135" s="174">
        <v>0</v>
      </c>
      <c r="G135" s="174">
        <v>0</v>
      </c>
      <c r="H135" s="174">
        <f t="shared" si="3"/>
        <v>0</v>
      </c>
      <c r="I135" s="226"/>
      <c r="J135" s="174">
        <v>0</v>
      </c>
      <c r="K135" s="174">
        <v>0</v>
      </c>
      <c r="L135" s="174">
        <v>0</v>
      </c>
      <c r="M135" s="174"/>
      <c r="N135" s="221"/>
      <c r="O135" s="198"/>
      <c r="P135" s="198">
        <v>0</v>
      </c>
      <c r="Q135" s="198">
        <v>0</v>
      </c>
      <c r="R135" s="199">
        <f t="shared" si="4"/>
        <v>0</v>
      </c>
      <c r="U135" s="199"/>
      <c r="V135" s="199">
        <v>0</v>
      </c>
      <c r="W135" s="291"/>
      <c r="X135" s="291"/>
      <c r="Y135" s="291"/>
      <c r="Z135" s="291"/>
      <c r="AA135" s="291">
        <v>0</v>
      </c>
      <c r="AB135" s="291">
        <v>0</v>
      </c>
      <c r="AC135" s="291">
        <v>0</v>
      </c>
      <c r="AE135" s="176">
        <f t="shared" si="6"/>
        <v>0</v>
      </c>
      <c r="AF135" s="176">
        <f t="shared" si="6"/>
        <v>0</v>
      </c>
    </row>
    <row r="136" spans="1:32">
      <c r="A136" s="168">
        <v>2078</v>
      </c>
      <c r="B136" s="2">
        <v>139000</v>
      </c>
      <c r="C136" s="2" t="s">
        <v>337</v>
      </c>
      <c r="D136" s="30"/>
      <c r="E136" s="174">
        <v>0</v>
      </c>
      <c r="F136" s="174">
        <v>0</v>
      </c>
      <c r="G136" s="174">
        <v>0</v>
      </c>
      <c r="H136" s="174">
        <f t="shared" si="3"/>
        <v>0</v>
      </c>
      <c r="I136" s="226"/>
      <c r="J136" s="174">
        <v>0</v>
      </c>
      <c r="K136" s="174">
        <v>0</v>
      </c>
      <c r="L136" s="174">
        <v>0</v>
      </c>
      <c r="M136" s="174"/>
      <c r="N136" s="221"/>
      <c r="O136" s="198"/>
      <c r="P136" s="198">
        <v>0</v>
      </c>
      <c r="Q136" s="198">
        <v>0</v>
      </c>
      <c r="R136" s="199">
        <f t="shared" si="4"/>
        <v>0</v>
      </c>
      <c r="U136" s="199"/>
      <c r="V136" s="199">
        <v>0</v>
      </c>
      <c r="W136" s="291"/>
      <c r="X136" s="291"/>
      <c r="Y136" s="291"/>
      <c r="Z136" s="291"/>
      <c r="AA136" s="291">
        <v>0</v>
      </c>
      <c r="AB136" s="291">
        <v>0</v>
      </c>
      <c r="AC136" s="291">
        <v>0</v>
      </c>
      <c r="AE136" s="176">
        <f t="shared" si="6"/>
        <v>0</v>
      </c>
      <c r="AF136" s="176">
        <f t="shared" si="6"/>
        <v>0</v>
      </c>
    </row>
    <row r="137" spans="1:32">
      <c r="A137" s="168">
        <v>2038</v>
      </c>
      <c r="B137" s="2">
        <v>138799</v>
      </c>
      <c r="C137" s="2" t="s">
        <v>338</v>
      </c>
      <c r="D137" s="30"/>
      <c r="E137" s="174">
        <v>0</v>
      </c>
      <c r="F137" s="174">
        <v>0</v>
      </c>
      <c r="G137" s="174">
        <v>0</v>
      </c>
      <c r="H137" s="174">
        <f t="shared" ref="H137:H201" si="7">E137+F137+G137</f>
        <v>0</v>
      </c>
      <c r="I137" s="226"/>
      <c r="J137" s="174">
        <v>0</v>
      </c>
      <c r="K137" s="174">
        <v>0</v>
      </c>
      <c r="L137" s="174">
        <v>0</v>
      </c>
      <c r="M137" s="174"/>
      <c r="N137" s="221"/>
      <c r="O137" s="198"/>
      <c r="P137" s="198">
        <v>0</v>
      </c>
      <c r="Q137" s="198">
        <v>0</v>
      </c>
      <c r="R137" s="199">
        <f t="shared" ref="R137:R201" si="8">O137+P137+Q137</f>
        <v>0</v>
      </c>
      <c r="U137" s="199"/>
      <c r="V137" s="199">
        <v>11593.41</v>
      </c>
      <c r="W137" s="291"/>
      <c r="X137" s="291"/>
      <c r="Y137" s="291"/>
      <c r="Z137" s="291"/>
      <c r="AA137" s="291">
        <v>0</v>
      </c>
      <c r="AB137" s="291">
        <v>0</v>
      </c>
      <c r="AC137" s="291">
        <v>70232.551538461543</v>
      </c>
      <c r="AE137" s="176">
        <f t="shared" ref="AE137:AF168" si="9">SUMIFS($E137:$H137,$E$3:$H$3,AE$7)+SUMIFS($O137:$R137,$O$3:$R$3,AE$7)+SUMIFS($J137:$M137,$J$3:$M$3,AE$7)+SUMIFS($U137:$AC137,$U$3:$AC$3,AE$7)</f>
        <v>0</v>
      </c>
      <c r="AF137" s="176">
        <f t="shared" si="9"/>
        <v>81825.961538461546</v>
      </c>
    </row>
    <row r="138" spans="1:32">
      <c r="A138" s="168">
        <v>5411</v>
      </c>
      <c r="B138" s="2">
        <v>136406</v>
      </c>
      <c r="C138" s="2" t="s">
        <v>339</v>
      </c>
      <c r="D138" s="30"/>
      <c r="E138" s="174">
        <v>0</v>
      </c>
      <c r="F138" s="174">
        <v>0</v>
      </c>
      <c r="G138" s="174">
        <v>0</v>
      </c>
      <c r="H138" s="174">
        <f t="shared" si="7"/>
        <v>0</v>
      </c>
      <c r="I138" s="226"/>
      <c r="J138" s="174">
        <v>0</v>
      </c>
      <c r="K138" s="174">
        <v>0</v>
      </c>
      <c r="L138" s="174">
        <v>0</v>
      </c>
      <c r="M138" s="174"/>
      <c r="N138" s="221"/>
      <c r="O138" s="198"/>
      <c r="P138" s="198">
        <v>422187.8000000001</v>
      </c>
      <c r="Q138" s="198">
        <v>-29166.666666666668</v>
      </c>
      <c r="R138" s="199">
        <f t="shared" si="8"/>
        <v>393021.13333333342</v>
      </c>
      <c r="U138" s="199"/>
      <c r="V138" s="199">
        <v>0</v>
      </c>
      <c r="W138" s="291"/>
      <c r="X138" s="291"/>
      <c r="Y138" s="291"/>
      <c r="Z138" s="291"/>
      <c r="AA138" s="291">
        <v>0</v>
      </c>
      <c r="AB138" s="291">
        <v>0</v>
      </c>
      <c r="AC138" s="291">
        <v>0</v>
      </c>
      <c r="AE138" s="176">
        <f t="shared" si="9"/>
        <v>-29166.666666666668</v>
      </c>
      <c r="AF138" s="176">
        <f t="shared" si="9"/>
        <v>422187.8000000001</v>
      </c>
    </row>
    <row r="139" spans="1:32">
      <c r="A139" s="168">
        <v>4004</v>
      </c>
      <c r="B139" s="2">
        <v>138586</v>
      </c>
      <c r="C139" s="2" t="s">
        <v>340</v>
      </c>
      <c r="D139" s="30"/>
      <c r="E139" s="174">
        <v>0</v>
      </c>
      <c r="F139" s="174">
        <v>0</v>
      </c>
      <c r="G139" s="174">
        <v>0</v>
      </c>
      <c r="H139" s="174">
        <f t="shared" si="7"/>
        <v>0</v>
      </c>
      <c r="I139" s="226"/>
      <c r="J139" s="174">
        <v>0</v>
      </c>
      <c r="K139" s="174">
        <v>0</v>
      </c>
      <c r="L139" s="174">
        <v>0</v>
      </c>
      <c r="M139" s="174"/>
      <c r="N139" s="221"/>
      <c r="O139" s="198"/>
      <c r="P139" s="198">
        <v>0</v>
      </c>
      <c r="Q139" s="198">
        <v>0</v>
      </c>
      <c r="R139" s="199">
        <f t="shared" si="8"/>
        <v>0</v>
      </c>
      <c r="U139" s="199"/>
      <c r="V139" s="199">
        <v>0</v>
      </c>
      <c r="W139" s="291"/>
      <c r="X139" s="291"/>
      <c r="Y139" s="291"/>
      <c r="Z139" s="291"/>
      <c r="AA139" s="291">
        <v>0</v>
      </c>
      <c r="AB139" s="291">
        <v>0</v>
      </c>
      <c r="AC139" s="291">
        <v>0</v>
      </c>
      <c r="AE139" s="176">
        <f t="shared" si="9"/>
        <v>0</v>
      </c>
      <c r="AF139" s="176">
        <f t="shared" si="9"/>
        <v>0</v>
      </c>
    </row>
    <row r="140" spans="1:32">
      <c r="A140" s="168">
        <v>2032</v>
      </c>
      <c r="B140" s="2">
        <v>137492</v>
      </c>
      <c r="C140" s="2" t="s">
        <v>341</v>
      </c>
      <c r="D140" s="30"/>
      <c r="E140" s="174">
        <v>0</v>
      </c>
      <c r="F140" s="174">
        <v>0</v>
      </c>
      <c r="G140" s="174">
        <v>0</v>
      </c>
      <c r="H140" s="174">
        <f t="shared" si="7"/>
        <v>0</v>
      </c>
      <c r="I140" s="226"/>
      <c r="J140" s="174">
        <v>0</v>
      </c>
      <c r="K140" s="174">
        <v>0</v>
      </c>
      <c r="L140" s="174">
        <v>0</v>
      </c>
      <c r="M140" s="174"/>
      <c r="N140" s="221"/>
      <c r="O140" s="198"/>
      <c r="P140" s="198">
        <v>0</v>
      </c>
      <c r="Q140" s="198">
        <v>0</v>
      </c>
      <c r="R140" s="199">
        <f t="shared" si="8"/>
        <v>0</v>
      </c>
      <c r="U140" s="199"/>
      <c r="V140" s="199">
        <v>0</v>
      </c>
      <c r="W140" s="291"/>
      <c r="X140" s="291"/>
      <c r="Y140" s="291"/>
      <c r="Z140" s="291"/>
      <c r="AA140" s="291">
        <v>0</v>
      </c>
      <c r="AB140" s="291">
        <v>0</v>
      </c>
      <c r="AC140" s="291">
        <v>0</v>
      </c>
      <c r="AE140" s="176">
        <f t="shared" si="9"/>
        <v>0</v>
      </c>
      <c r="AF140" s="176">
        <f t="shared" si="9"/>
        <v>0</v>
      </c>
    </row>
    <row r="141" spans="1:32">
      <c r="A141" s="168">
        <v>2315</v>
      </c>
      <c r="B141" s="2">
        <v>142358</v>
      </c>
      <c r="C141" s="2" t="s">
        <v>342</v>
      </c>
      <c r="D141" s="30"/>
      <c r="E141" s="174">
        <v>0</v>
      </c>
      <c r="F141" s="174">
        <v>0</v>
      </c>
      <c r="G141" s="174">
        <v>0</v>
      </c>
      <c r="H141" s="174">
        <f t="shared" si="7"/>
        <v>0</v>
      </c>
      <c r="I141" s="226"/>
      <c r="J141" s="174">
        <v>0</v>
      </c>
      <c r="K141" s="174">
        <v>0</v>
      </c>
      <c r="L141" s="174">
        <v>0</v>
      </c>
      <c r="M141" s="174"/>
      <c r="N141" s="221"/>
      <c r="O141" s="198"/>
      <c r="P141" s="198">
        <v>0</v>
      </c>
      <c r="Q141" s="198">
        <v>0</v>
      </c>
      <c r="R141" s="199">
        <f t="shared" si="8"/>
        <v>0</v>
      </c>
      <c r="U141" s="199"/>
      <c r="V141" s="199">
        <v>0</v>
      </c>
      <c r="W141" s="291"/>
      <c r="X141" s="291"/>
      <c r="Y141" s="291"/>
      <c r="Z141" s="291"/>
      <c r="AA141" s="291">
        <v>0</v>
      </c>
      <c r="AB141" s="291">
        <v>0</v>
      </c>
      <c r="AC141" s="291">
        <v>0</v>
      </c>
      <c r="AE141" s="176">
        <f t="shared" si="9"/>
        <v>0</v>
      </c>
      <c r="AF141" s="176">
        <f t="shared" si="9"/>
        <v>0</v>
      </c>
    </row>
    <row r="142" spans="1:32">
      <c r="A142" s="168">
        <v>2263</v>
      </c>
      <c r="B142" s="2">
        <v>142203</v>
      </c>
      <c r="C142" s="2" t="s">
        <v>343</v>
      </c>
      <c r="D142" s="30"/>
      <c r="E142" s="174">
        <v>0</v>
      </c>
      <c r="F142" s="174">
        <v>0</v>
      </c>
      <c r="G142" s="174">
        <v>0</v>
      </c>
      <c r="H142" s="174">
        <f t="shared" si="7"/>
        <v>0</v>
      </c>
      <c r="I142" s="226"/>
      <c r="J142" s="174">
        <v>0</v>
      </c>
      <c r="K142" s="174">
        <v>0</v>
      </c>
      <c r="L142" s="174">
        <v>0</v>
      </c>
      <c r="M142" s="174"/>
      <c r="N142" s="221"/>
      <c r="O142" s="198"/>
      <c r="P142" s="198">
        <v>0</v>
      </c>
      <c r="Q142" s="198">
        <v>0</v>
      </c>
      <c r="R142" s="199">
        <f t="shared" si="8"/>
        <v>0</v>
      </c>
      <c r="U142" s="199"/>
      <c r="V142" s="199">
        <v>0</v>
      </c>
      <c r="W142" s="291"/>
      <c r="X142" s="291"/>
      <c r="Y142" s="291"/>
      <c r="Z142" s="291"/>
      <c r="AA142" s="291">
        <v>0</v>
      </c>
      <c r="AB142" s="291">
        <v>0</v>
      </c>
      <c r="AC142" s="291">
        <v>0</v>
      </c>
      <c r="AE142" s="176">
        <f t="shared" si="9"/>
        <v>0</v>
      </c>
      <c r="AF142" s="176">
        <f t="shared" si="9"/>
        <v>0</v>
      </c>
    </row>
    <row r="143" spans="1:32">
      <c r="A143" s="168">
        <v>2212</v>
      </c>
      <c r="B143" s="2">
        <v>150692</v>
      </c>
      <c r="C143" s="2" t="s">
        <v>344</v>
      </c>
      <c r="D143" s="30"/>
      <c r="E143" s="174">
        <v>0</v>
      </c>
      <c r="F143" s="174">
        <v>0</v>
      </c>
      <c r="G143" s="174">
        <v>0</v>
      </c>
      <c r="H143" s="174">
        <f t="shared" si="7"/>
        <v>0</v>
      </c>
      <c r="I143" s="226"/>
      <c r="J143" s="174">
        <v>0</v>
      </c>
      <c r="K143" s="174">
        <v>0</v>
      </c>
      <c r="L143" s="174">
        <v>0</v>
      </c>
      <c r="M143" s="174"/>
      <c r="N143" s="221"/>
      <c r="O143" s="198"/>
      <c r="P143" s="198">
        <v>0</v>
      </c>
      <c r="Q143" s="198">
        <v>0</v>
      </c>
      <c r="R143" s="199">
        <f t="shared" si="8"/>
        <v>0</v>
      </c>
      <c r="U143" s="199"/>
      <c r="V143" s="199">
        <v>0</v>
      </c>
      <c r="W143" s="291"/>
      <c r="X143" s="291"/>
      <c r="Y143" s="291"/>
      <c r="Z143" s="291"/>
      <c r="AA143" s="291">
        <v>0</v>
      </c>
      <c r="AB143" s="291">
        <v>0</v>
      </c>
      <c r="AC143" s="291">
        <v>0</v>
      </c>
      <c r="AE143" s="176">
        <f t="shared" si="9"/>
        <v>0</v>
      </c>
      <c r="AF143" s="176">
        <f t="shared" si="9"/>
        <v>0</v>
      </c>
    </row>
    <row r="144" spans="1:32">
      <c r="A144" s="168">
        <v>2102</v>
      </c>
      <c r="B144" s="2">
        <v>139120</v>
      </c>
      <c r="C144" s="2" t="s">
        <v>345</v>
      </c>
      <c r="D144" s="30"/>
      <c r="E144" s="174">
        <v>0</v>
      </c>
      <c r="F144" s="174">
        <v>0</v>
      </c>
      <c r="G144" s="174">
        <v>0</v>
      </c>
      <c r="H144" s="174">
        <f t="shared" si="7"/>
        <v>0</v>
      </c>
      <c r="I144" s="226"/>
      <c r="J144" s="174">
        <v>0</v>
      </c>
      <c r="K144" s="174">
        <v>0</v>
      </c>
      <c r="L144" s="174">
        <v>0</v>
      </c>
      <c r="M144" s="174"/>
      <c r="N144" s="221"/>
      <c r="O144" s="198"/>
      <c r="P144" s="198">
        <v>0</v>
      </c>
      <c r="Q144" s="198">
        <v>0</v>
      </c>
      <c r="R144" s="199">
        <f t="shared" si="8"/>
        <v>0</v>
      </c>
      <c r="U144" s="199"/>
      <c r="V144" s="199">
        <v>0</v>
      </c>
      <c r="W144" s="291"/>
      <c r="X144" s="291"/>
      <c r="Y144" s="291"/>
      <c r="Z144" s="291"/>
      <c r="AA144" s="291">
        <v>0</v>
      </c>
      <c r="AB144" s="291">
        <v>0</v>
      </c>
      <c r="AC144" s="291">
        <v>0</v>
      </c>
      <c r="AE144" s="176">
        <f t="shared" si="9"/>
        <v>0</v>
      </c>
      <c r="AF144" s="176">
        <f t="shared" si="9"/>
        <v>0</v>
      </c>
    </row>
    <row r="145" spans="1:32">
      <c r="A145" s="168">
        <v>2107</v>
      </c>
      <c r="B145" s="2">
        <v>139129</v>
      </c>
      <c r="C145" s="2" t="s">
        <v>346</v>
      </c>
      <c r="D145" s="30"/>
      <c r="E145" s="174">
        <v>0</v>
      </c>
      <c r="F145" s="174">
        <v>0</v>
      </c>
      <c r="G145" s="174">
        <v>0</v>
      </c>
      <c r="H145" s="174">
        <f t="shared" si="7"/>
        <v>0</v>
      </c>
      <c r="I145" s="226"/>
      <c r="J145" s="174">
        <v>0</v>
      </c>
      <c r="K145" s="174">
        <v>0</v>
      </c>
      <c r="L145" s="174">
        <v>0</v>
      </c>
      <c r="M145" s="174"/>
      <c r="N145" s="221"/>
      <c r="O145" s="198"/>
      <c r="P145" s="198">
        <v>0</v>
      </c>
      <c r="Q145" s="198">
        <v>0</v>
      </c>
      <c r="R145" s="199">
        <f t="shared" si="8"/>
        <v>0</v>
      </c>
      <c r="U145" s="199"/>
      <c r="V145" s="199">
        <v>0</v>
      </c>
      <c r="W145" s="291"/>
      <c r="X145" s="291"/>
      <c r="Y145" s="291"/>
      <c r="Z145" s="291"/>
      <c r="AA145" s="291">
        <v>0</v>
      </c>
      <c r="AB145" s="291">
        <v>0</v>
      </c>
      <c r="AC145" s="291">
        <v>0</v>
      </c>
      <c r="AE145" s="176">
        <f t="shared" si="9"/>
        <v>0</v>
      </c>
      <c r="AF145" s="176">
        <f t="shared" si="9"/>
        <v>0</v>
      </c>
    </row>
    <row r="146" spans="1:32">
      <c r="A146" s="168">
        <v>2117</v>
      </c>
      <c r="B146" s="2">
        <v>139242</v>
      </c>
      <c r="C146" s="2" t="s">
        <v>347</v>
      </c>
      <c r="D146" s="30"/>
      <c r="E146" s="174">
        <v>0</v>
      </c>
      <c r="F146" s="174">
        <v>0</v>
      </c>
      <c r="G146" s="174">
        <v>0</v>
      </c>
      <c r="H146" s="174">
        <f t="shared" si="7"/>
        <v>0</v>
      </c>
      <c r="I146" s="226"/>
      <c r="J146" s="174">
        <v>0</v>
      </c>
      <c r="K146" s="174">
        <v>0</v>
      </c>
      <c r="L146" s="174">
        <v>0</v>
      </c>
      <c r="M146" s="174"/>
      <c r="N146" s="221"/>
      <c r="O146" s="198"/>
      <c r="P146" s="198">
        <v>0</v>
      </c>
      <c r="Q146" s="198">
        <v>0</v>
      </c>
      <c r="R146" s="199">
        <f t="shared" si="8"/>
        <v>0</v>
      </c>
      <c r="U146" s="199"/>
      <c r="V146" s="199">
        <v>0</v>
      </c>
      <c r="W146" s="291"/>
      <c r="X146" s="291"/>
      <c r="Y146" s="291"/>
      <c r="Z146" s="291"/>
      <c r="AA146" s="291">
        <v>0</v>
      </c>
      <c r="AB146" s="291">
        <v>0</v>
      </c>
      <c r="AC146" s="291">
        <v>0</v>
      </c>
      <c r="AE146" s="176">
        <f t="shared" si="9"/>
        <v>0</v>
      </c>
      <c r="AF146" s="176">
        <f t="shared" si="9"/>
        <v>0</v>
      </c>
    </row>
    <row r="147" spans="1:32">
      <c r="A147" s="168">
        <v>2141</v>
      </c>
      <c r="B147" s="2">
        <v>140161</v>
      </c>
      <c r="C147" s="2" t="s">
        <v>348</v>
      </c>
      <c r="D147" s="30"/>
      <c r="E147" s="174">
        <v>0</v>
      </c>
      <c r="F147" s="174">
        <v>0</v>
      </c>
      <c r="G147" s="174">
        <v>0</v>
      </c>
      <c r="H147" s="174">
        <f t="shared" si="7"/>
        <v>0</v>
      </c>
      <c r="I147" s="226"/>
      <c r="J147" s="174">
        <v>0</v>
      </c>
      <c r="K147" s="174">
        <v>0</v>
      </c>
      <c r="L147" s="174">
        <v>0</v>
      </c>
      <c r="M147" s="174"/>
      <c r="N147" s="221"/>
      <c r="O147" s="198"/>
      <c r="P147" s="198">
        <v>0</v>
      </c>
      <c r="Q147" s="198">
        <v>0</v>
      </c>
      <c r="R147" s="199">
        <f t="shared" si="8"/>
        <v>0</v>
      </c>
      <c r="U147" s="199"/>
      <c r="V147" s="199">
        <v>0</v>
      </c>
      <c r="W147" s="291"/>
      <c r="X147" s="291"/>
      <c r="Y147" s="291"/>
      <c r="Z147" s="291"/>
      <c r="AA147" s="291">
        <v>0</v>
      </c>
      <c r="AB147" s="291">
        <v>0</v>
      </c>
      <c r="AC147" s="291">
        <v>0</v>
      </c>
      <c r="AE147" s="176">
        <f t="shared" si="9"/>
        <v>0</v>
      </c>
      <c r="AF147" s="176">
        <f t="shared" si="9"/>
        <v>0</v>
      </c>
    </row>
    <row r="148" spans="1:32">
      <c r="A148" s="168">
        <v>2110</v>
      </c>
      <c r="B148" s="2">
        <v>139214</v>
      </c>
      <c r="C148" s="2" t="s">
        <v>349</v>
      </c>
      <c r="D148" s="30"/>
      <c r="E148" s="174">
        <v>0</v>
      </c>
      <c r="F148" s="174">
        <v>0</v>
      </c>
      <c r="G148" s="174">
        <v>0</v>
      </c>
      <c r="H148" s="174">
        <f t="shared" si="7"/>
        <v>0</v>
      </c>
      <c r="I148" s="226"/>
      <c r="J148" s="174">
        <v>0</v>
      </c>
      <c r="K148" s="174">
        <v>0</v>
      </c>
      <c r="L148" s="174">
        <v>0</v>
      </c>
      <c r="M148" s="174"/>
      <c r="N148" s="221"/>
      <c r="O148" s="198"/>
      <c r="P148" s="198">
        <v>0</v>
      </c>
      <c r="Q148" s="198">
        <v>0</v>
      </c>
      <c r="R148" s="199">
        <f t="shared" si="8"/>
        <v>0</v>
      </c>
      <c r="U148" s="199"/>
      <c r="V148" s="199">
        <v>0</v>
      </c>
      <c r="W148" s="291"/>
      <c r="X148" s="291"/>
      <c r="Y148" s="291"/>
      <c r="Z148" s="291"/>
      <c r="AA148" s="291">
        <v>0</v>
      </c>
      <c r="AB148" s="291">
        <v>0</v>
      </c>
      <c r="AC148" s="291">
        <v>0</v>
      </c>
      <c r="AE148" s="176">
        <f t="shared" si="9"/>
        <v>0</v>
      </c>
      <c r="AF148" s="176">
        <f t="shared" si="9"/>
        <v>0</v>
      </c>
    </row>
    <row r="149" spans="1:32">
      <c r="A149" s="168">
        <v>2103</v>
      </c>
      <c r="B149" s="2">
        <v>139125</v>
      </c>
      <c r="C149" s="2" t="s">
        <v>350</v>
      </c>
      <c r="D149" s="30"/>
      <c r="E149" s="174">
        <v>0</v>
      </c>
      <c r="F149" s="174">
        <v>0</v>
      </c>
      <c r="G149" s="174">
        <v>0</v>
      </c>
      <c r="H149" s="174">
        <f t="shared" si="7"/>
        <v>0</v>
      </c>
      <c r="I149" s="226"/>
      <c r="J149" s="174">
        <v>0</v>
      </c>
      <c r="K149" s="174">
        <v>0</v>
      </c>
      <c r="L149" s="174">
        <v>0</v>
      </c>
      <c r="M149" s="174"/>
      <c r="N149" s="221"/>
      <c r="O149" s="198"/>
      <c r="P149" s="198">
        <v>0</v>
      </c>
      <c r="Q149" s="198">
        <v>0</v>
      </c>
      <c r="R149" s="199">
        <f t="shared" si="8"/>
        <v>0</v>
      </c>
      <c r="U149" s="199"/>
      <c r="V149" s="199">
        <v>0</v>
      </c>
      <c r="W149" s="291"/>
      <c r="X149" s="291"/>
      <c r="Y149" s="291"/>
      <c r="Z149" s="291"/>
      <c r="AA149" s="291">
        <v>0</v>
      </c>
      <c r="AB149" s="291">
        <v>0</v>
      </c>
      <c r="AC149" s="291">
        <v>0</v>
      </c>
      <c r="AE149" s="176">
        <f t="shared" si="9"/>
        <v>0</v>
      </c>
      <c r="AF149" s="176">
        <f t="shared" si="9"/>
        <v>0</v>
      </c>
    </row>
    <row r="150" spans="1:32">
      <c r="A150" s="168">
        <v>2221</v>
      </c>
      <c r="B150" s="2">
        <v>150894</v>
      </c>
      <c r="C150" s="2" t="s">
        <v>351</v>
      </c>
      <c r="D150" s="30"/>
      <c r="E150" s="174">
        <v>0</v>
      </c>
      <c r="F150" s="174">
        <v>0</v>
      </c>
      <c r="G150" s="174">
        <v>0</v>
      </c>
      <c r="H150" s="174">
        <f t="shared" si="7"/>
        <v>0</v>
      </c>
      <c r="I150" s="226"/>
      <c r="J150" s="174">
        <v>0</v>
      </c>
      <c r="K150" s="174">
        <v>0</v>
      </c>
      <c r="L150" s="174">
        <v>0</v>
      </c>
      <c r="M150" s="174"/>
      <c r="N150" s="221"/>
      <c r="O150" s="198"/>
      <c r="P150" s="198">
        <v>0</v>
      </c>
      <c r="Q150" s="198">
        <v>0</v>
      </c>
      <c r="R150" s="199">
        <f t="shared" si="8"/>
        <v>0</v>
      </c>
      <c r="U150" s="199"/>
      <c r="V150" s="199">
        <v>0</v>
      </c>
      <c r="W150" s="291"/>
      <c r="X150" s="291"/>
      <c r="Y150" s="291"/>
      <c r="Z150" s="291"/>
      <c r="AA150" s="291">
        <v>0</v>
      </c>
      <c r="AB150" s="291">
        <v>0</v>
      </c>
      <c r="AC150" s="291">
        <v>0</v>
      </c>
      <c r="AE150" s="176">
        <f t="shared" si="9"/>
        <v>0</v>
      </c>
      <c r="AF150" s="176">
        <f t="shared" si="9"/>
        <v>0</v>
      </c>
    </row>
    <row r="151" spans="1:32">
      <c r="A151" s="168">
        <v>2105</v>
      </c>
      <c r="B151" s="2">
        <v>139128</v>
      </c>
      <c r="C151" s="2" t="s">
        <v>352</v>
      </c>
      <c r="D151" s="30"/>
      <c r="E151" s="174">
        <v>0</v>
      </c>
      <c r="F151" s="174">
        <v>0</v>
      </c>
      <c r="G151" s="174">
        <v>0</v>
      </c>
      <c r="H151" s="174">
        <f t="shared" si="7"/>
        <v>0</v>
      </c>
      <c r="I151" s="226"/>
      <c r="J151" s="174">
        <v>0</v>
      </c>
      <c r="K151" s="174">
        <v>0</v>
      </c>
      <c r="L151" s="174">
        <v>0</v>
      </c>
      <c r="M151" s="174"/>
      <c r="N151" s="221"/>
      <c r="O151" s="198"/>
      <c r="P151" s="198">
        <v>0</v>
      </c>
      <c r="Q151" s="198">
        <v>0</v>
      </c>
      <c r="R151" s="199">
        <f t="shared" si="8"/>
        <v>0</v>
      </c>
      <c r="U151" s="199"/>
      <c r="V151" s="199">
        <v>0</v>
      </c>
      <c r="W151" s="291"/>
      <c r="X151" s="291"/>
      <c r="Y151" s="291"/>
      <c r="Z151" s="291"/>
      <c r="AA151" s="291">
        <v>0</v>
      </c>
      <c r="AB151" s="291">
        <v>0</v>
      </c>
      <c r="AC151" s="291">
        <v>0</v>
      </c>
      <c r="AE151" s="176">
        <f t="shared" si="9"/>
        <v>0</v>
      </c>
      <c r="AF151" s="176">
        <f t="shared" si="9"/>
        <v>0</v>
      </c>
    </row>
    <row r="152" spans="1:32">
      <c r="A152" s="168">
        <v>7007</v>
      </c>
      <c r="B152" s="2">
        <v>151642</v>
      </c>
      <c r="C152" s="2" t="s">
        <v>483</v>
      </c>
      <c r="D152" s="30"/>
      <c r="E152" s="174"/>
      <c r="F152" s="174"/>
      <c r="G152" s="174"/>
      <c r="H152" s="174"/>
      <c r="I152" s="226"/>
      <c r="J152" s="174"/>
      <c r="K152" s="174"/>
      <c r="L152" s="174"/>
      <c r="M152" s="174"/>
      <c r="N152" s="221"/>
      <c r="O152" s="198"/>
      <c r="P152" s="198"/>
      <c r="Q152" s="198"/>
      <c r="R152" s="199"/>
      <c r="U152" s="199"/>
      <c r="V152" s="199"/>
      <c r="W152" s="291"/>
      <c r="X152" s="291">
        <f>1989900*6/12</f>
        <v>994950</v>
      </c>
      <c r="Y152" s="291">
        <f>1717118.72196557*6/12</f>
        <v>858559.360982785</v>
      </c>
      <c r="Z152" s="291">
        <f>118800*6/12</f>
        <v>59400</v>
      </c>
      <c r="AA152" s="291">
        <v>0</v>
      </c>
      <c r="AB152" s="291">
        <v>0</v>
      </c>
      <c r="AC152" s="291">
        <v>0</v>
      </c>
      <c r="AE152" s="176">
        <f t="shared" si="9"/>
        <v>994950</v>
      </c>
      <c r="AF152" s="176">
        <f t="shared" si="9"/>
        <v>917959.360982785</v>
      </c>
    </row>
    <row r="153" spans="1:32">
      <c r="A153" s="168">
        <v>2206</v>
      </c>
      <c r="B153" s="2">
        <v>147758</v>
      </c>
      <c r="C153" s="2" t="s">
        <v>353</v>
      </c>
      <c r="D153" s="30"/>
      <c r="E153" s="174">
        <v>0</v>
      </c>
      <c r="F153" s="174">
        <v>0</v>
      </c>
      <c r="G153" s="174">
        <v>0</v>
      </c>
      <c r="H153" s="174">
        <f t="shared" si="7"/>
        <v>0</v>
      </c>
      <c r="I153" s="226"/>
      <c r="J153" s="174">
        <v>0</v>
      </c>
      <c r="K153" s="174">
        <v>0</v>
      </c>
      <c r="L153" s="174">
        <v>0</v>
      </c>
      <c r="M153" s="174"/>
      <c r="N153" s="221"/>
      <c r="O153" s="198"/>
      <c r="P153" s="198">
        <v>0</v>
      </c>
      <c r="Q153" s="198">
        <v>0</v>
      </c>
      <c r="R153" s="199">
        <f t="shared" si="8"/>
        <v>0</v>
      </c>
      <c r="U153" s="199"/>
      <c r="V153" s="199">
        <v>0</v>
      </c>
      <c r="W153" s="291"/>
      <c r="X153" s="291"/>
      <c r="Y153" s="291"/>
      <c r="Z153" s="291"/>
      <c r="AA153" s="291">
        <v>0</v>
      </c>
      <c r="AB153" s="291">
        <v>0</v>
      </c>
      <c r="AC153" s="291">
        <v>0</v>
      </c>
      <c r="AE153" s="176">
        <f t="shared" si="9"/>
        <v>0</v>
      </c>
      <c r="AF153" s="176">
        <f t="shared" si="9"/>
        <v>0</v>
      </c>
    </row>
    <row r="154" spans="1:32">
      <c r="A154" s="168">
        <v>3374</v>
      </c>
      <c r="B154" s="2">
        <v>141484</v>
      </c>
      <c r="C154" s="2" t="s">
        <v>354</v>
      </c>
      <c r="D154" s="30"/>
      <c r="E154" s="174">
        <v>0</v>
      </c>
      <c r="F154" s="174">
        <v>0</v>
      </c>
      <c r="G154" s="174">
        <v>0</v>
      </c>
      <c r="H154" s="174">
        <f t="shared" si="7"/>
        <v>0</v>
      </c>
      <c r="I154" s="226"/>
      <c r="J154" s="174">
        <v>0</v>
      </c>
      <c r="K154" s="174">
        <v>0</v>
      </c>
      <c r="L154" s="174">
        <v>0</v>
      </c>
      <c r="M154" s="174"/>
      <c r="N154" s="221"/>
      <c r="O154" s="198"/>
      <c r="P154" s="198">
        <v>0</v>
      </c>
      <c r="Q154" s="198">
        <v>0</v>
      </c>
      <c r="R154" s="199">
        <f t="shared" si="8"/>
        <v>0</v>
      </c>
      <c r="U154" s="199"/>
      <c r="V154" s="199">
        <v>0</v>
      </c>
      <c r="W154" s="291"/>
      <c r="X154" s="291"/>
      <c r="Y154" s="291"/>
      <c r="Z154" s="291"/>
      <c r="AA154" s="291">
        <v>0</v>
      </c>
      <c r="AB154" s="291">
        <v>0</v>
      </c>
      <c r="AC154" s="291">
        <v>0</v>
      </c>
      <c r="AE154" s="176">
        <f t="shared" si="9"/>
        <v>0</v>
      </c>
      <c r="AF154" s="176">
        <f t="shared" si="9"/>
        <v>0</v>
      </c>
    </row>
    <row r="155" spans="1:32">
      <c r="A155" s="168">
        <v>3357</v>
      </c>
      <c r="B155" s="2">
        <v>148082</v>
      </c>
      <c r="C155" s="2" t="s">
        <v>355</v>
      </c>
      <c r="D155" s="30"/>
      <c r="E155" s="174">
        <v>0</v>
      </c>
      <c r="F155" s="174">
        <v>0</v>
      </c>
      <c r="G155" s="174">
        <v>0</v>
      </c>
      <c r="H155" s="174">
        <f t="shared" si="7"/>
        <v>0</v>
      </c>
      <c r="I155" s="226"/>
      <c r="J155" s="174">
        <v>0</v>
      </c>
      <c r="K155" s="174">
        <v>0</v>
      </c>
      <c r="L155" s="174">
        <v>0</v>
      </c>
      <c r="M155" s="174"/>
      <c r="N155" s="221"/>
      <c r="O155" s="198"/>
      <c r="P155" s="198">
        <v>0</v>
      </c>
      <c r="Q155" s="198">
        <v>0</v>
      </c>
      <c r="R155" s="199">
        <f t="shared" si="8"/>
        <v>0</v>
      </c>
      <c r="U155" s="199"/>
      <c r="V155" s="199">
        <v>0</v>
      </c>
      <c r="W155" s="291"/>
      <c r="X155" s="291"/>
      <c r="Y155" s="291"/>
      <c r="Z155" s="291"/>
      <c r="AA155" s="291">
        <v>0</v>
      </c>
      <c r="AB155" s="291">
        <v>0</v>
      </c>
      <c r="AC155" s="291">
        <v>0</v>
      </c>
      <c r="AE155" s="176">
        <f t="shared" si="9"/>
        <v>0</v>
      </c>
      <c r="AF155" s="176">
        <f t="shared" si="9"/>
        <v>0</v>
      </c>
    </row>
    <row r="156" spans="1:32">
      <c r="A156" s="168">
        <v>2021</v>
      </c>
      <c r="B156" s="2">
        <v>150148</v>
      </c>
      <c r="C156" s="2" t="s">
        <v>356</v>
      </c>
      <c r="D156" s="30"/>
      <c r="E156" s="174">
        <v>0</v>
      </c>
      <c r="F156" s="174">
        <v>0</v>
      </c>
      <c r="G156" s="174">
        <v>0</v>
      </c>
      <c r="H156" s="174">
        <f t="shared" si="7"/>
        <v>0</v>
      </c>
      <c r="I156" s="226"/>
      <c r="J156" s="174">
        <v>0</v>
      </c>
      <c r="K156" s="174">
        <v>0</v>
      </c>
      <c r="L156" s="174">
        <v>0</v>
      </c>
      <c r="M156" s="174"/>
      <c r="N156" s="221"/>
      <c r="O156" s="198"/>
      <c r="P156" s="198">
        <v>0</v>
      </c>
      <c r="Q156" s="198">
        <v>0</v>
      </c>
      <c r="R156" s="199">
        <f t="shared" si="8"/>
        <v>0</v>
      </c>
      <c r="U156" s="199"/>
      <c r="V156" s="199">
        <v>0</v>
      </c>
      <c r="W156" s="291"/>
      <c r="X156" s="291"/>
      <c r="Y156" s="291"/>
      <c r="Z156" s="291"/>
      <c r="AA156" s="291">
        <v>0</v>
      </c>
      <c r="AB156" s="291">
        <v>0</v>
      </c>
      <c r="AC156" s="291">
        <v>0</v>
      </c>
      <c r="AE156" s="176">
        <f t="shared" si="9"/>
        <v>0</v>
      </c>
      <c r="AF156" s="176">
        <f t="shared" si="9"/>
        <v>0</v>
      </c>
    </row>
    <row r="157" spans="1:32">
      <c r="A157" s="168">
        <v>2149</v>
      </c>
      <c r="B157" s="2">
        <v>150639</v>
      </c>
      <c r="C157" s="2" t="s">
        <v>151</v>
      </c>
      <c r="D157" s="30"/>
      <c r="E157" s="174">
        <v>0</v>
      </c>
      <c r="F157" s="174">
        <v>0</v>
      </c>
      <c r="G157" s="174">
        <v>0</v>
      </c>
      <c r="H157" s="174">
        <f t="shared" si="7"/>
        <v>0</v>
      </c>
      <c r="I157" s="226"/>
      <c r="J157" s="174">
        <v>0</v>
      </c>
      <c r="K157" s="174">
        <v>0</v>
      </c>
      <c r="L157" s="174">
        <v>0</v>
      </c>
      <c r="M157" s="174"/>
      <c r="N157" s="221"/>
      <c r="O157" s="198"/>
      <c r="P157" s="198">
        <v>142733.70000000001</v>
      </c>
      <c r="Q157" s="198">
        <v>0</v>
      </c>
      <c r="R157" s="199">
        <f t="shared" si="8"/>
        <v>142733.70000000001</v>
      </c>
      <c r="U157" s="199"/>
      <c r="V157" s="199">
        <v>0</v>
      </c>
      <c r="W157" s="291"/>
      <c r="X157" s="291"/>
      <c r="Y157" s="291"/>
      <c r="Z157" s="291"/>
      <c r="AA157" s="291">
        <v>0</v>
      </c>
      <c r="AB157" s="291">
        <v>0</v>
      </c>
      <c r="AC157" s="291">
        <v>0</v>
      </c>
      <c r="AE157" s="176">
        <f t="shared" si="9"/>
        <v>0</v>
      </c>
      <c r="AF157" s="176">
        <f t="shared" si="9"/>
        <v>142733.70000000001</v>
      </c>
    </row>
    <row r="158" spans="1:32">
      <c r="A158" s="168">
        <v>2458</v>
      </c>
      <c r="B158" s="2">
        <v>139162</v>
      </c>
      <c r="C158" s="2" t="s">
        <v>357</v>
      </c>
      <c r="D158" s="30"/>
      <c r="E158" s="174">
        <v>0</v>
      </c>
      <c r="F158" s="174">
        <v>0</v>
      </c>
      <c r="G158" s="174">
        <v>0</v>
      </c>
      <c r="H158" s="174">
        <f t="shared" si="7"/>
        <v>0</v>
      </c>
      <c r="I158" s="226"/>
      <c r="J158" s="174">
        <v>0</v>
      </c>
      <c r="K158" s="174">
        <v>0</v>
      </c>
      <c r="L158" s="174">
        <v>0</v>
      </c>
      <c r="M158" s="174"/>
      <c r="N158" s="221"/>
      <c r="O158" s="198"/>
      <c r="P158" s="198">
        <v>0</v>
      </c>
      <c r="Q158" s="198">
        <v>0</v>
      </c>
      <c r="R158" s="199">
        <f t="shared" si="8"/>
        <v>0</v>
      </c>
      <c r="U158" s="199"/>
      <c r="V158" s="199">
        <v>0</v>
      </c>
      <c r="W158" s="291"/>
      <c r="X158" s="291"/>
      <c r="Y158" s="291"/>
      <c r="Z158" s="291"/>
      <c r="AA158" s="291">
        <v>0</v>
      </c>
      <c r="AB158" s="291">
        <v>0</v>
      </c>
      <c r="AC158" s="291">
        <v>0</v>
      </c>
      <c r="AE158" s="176">
        <f t="shared" si="9"/>
        <v>0</v>
      </c>
      <c r="AF158" s="176">
        <f t="shared" si="9"/>
        <v>0</v>
      </c>
    </row>
    <row r="159" spans="1:32">
      <c r="A159" s="168">
        <v>2452</v>
      </c>
      <c r="B159" s="2">
        <v>139631</v>
      </c>
      <c r="C159" s="2" t="s">
        <v>358</v>
      </c>
      <c r="D159" s="30"/>
      <c r="E159" s="174">
        <v>0</v>
      </c>
      <c r="F159" s="174">
        <v>0</v>
      </c>
      <c r="G159" s="174">
        <v>0</v>
      </c>
      <c r="H159" s="174">
        <f t="shared" si="7"/>
        <v>0</v>
      </c>
      <c r="I159" s="226"/>
      <c r="J159" s="174">
        <v>0</v>
      </c>
      <c r="K159" s="174">
        <v>0</v>
      </c>
      <c r="L159" s="174">
        <v>0</v>
      </c>
      <c r="M159" s="174"/>
      <c r="N159" s="221"/>
      <c r="O159" s="198"/>
      <c r="P159" s="198">
        <v>0</v>
      </c>
      <c r="Q159" s="198">
        <v>0</v>
      </c>
      <c r="R159" s="199">
        <f t="shared" si="8"/>
        <v>0</v>
      </c>
      <c r="U159" s="199"/>
      <c r="V159" s="199">
        <v>0</v>
      </c>
      <c r="W159" s="291"/>
      <c r="X159" s="291"/>
      <c r="Y159" s="291"/>
      <c r="Z159" s="291"/>
      <c r="AA159" s="291">
        <v>0</v>
      </c>
      <c r="AB159" s="291">
        <v>0</v>
      </c>
      <c r="AC159" s="291">
        <v>0</v>
      </c>
      <c r="AE159" s="176">
        <f t="shared" si="9"/>
        <v>0</v>
      </c>
      <c r="AF159" s="176">
        <f t="shared" si="9"/>
        <v>0</v>
      </c>
    </row>
    <row r="160" spans="1:32">
      <c r="A160" s="168">
        <v>2057</v>
      </c>
      <c r="B160" s="2">
        <v>138410</v>
      </c>
      <c r="C160" s="2" t="s">
        <v>359</v>
      </c>
      <c r="D160" s="30"/>
      <c r="E160" s="174">
        <v>0</v>
      </c>
      <c r="F160" s="174">
        <v>0</v>
      </c>
      <c r="G160" s="174">
        <v>0</v>
      </c>
      <c r="H160" s="174">
        <f t="shared" si="7"/>
        <v>0</v>
      </c>
      <c r="I160" s="226"/>
      <c r="J160" s="174">
        <v>0</v>
      </c>
      <c r="K160" s="174">
        <v>0</v>
      </c>
      <c r="L160" s="174">
        <v>0</v>
      </c>
      <c r="M160" s="174"/>
      <c r="N160" s="221"/>
      <c r="O160" s="198"/>
      <c r="P160" s="198">
        <v>498114.62000000005</v>
      </c>
      <c r="Q160" s="198">
        <v>-25000</v>
      </c>
      <c r="R160" s="199">
        <f t="shared" si="8"/>
        <v>473114.62000000005</v>
      </c>
      <c r="U160" s="199"/>
      <c r="V160" s="199">
        <v>0</v>
      </c>
      <c r="W160" s="291"/>
      <c r="X160" s="291"/>
      <c r="Y160" s="291"/>
      <c r="Z160" s="291"/>
      <c r="AA160" s="291">
        <v>0</v>
      </c>
      <c r="AB160" s="291">
        <v>0</v>
      </c>
      <c r="AC160" s="291">
        <v>0</v>
      </c>
      <c r="AE160" s="176">
        <f t="shared" si="9"/>
        <v>-25000</v>
      </c>
      <c r="AF160" s="176">
        <f t="shared" si="9"/>
        <v>498114.62000000005</v>
      </c>
    </row>
    <row r="161" spans="1:32">
      <c r="A161" s="168">
        <v>4331</v>
      </c>
      <c r="B161" s="2">
        <v>137053</v>
      </c>
      <c r="C161" s="2" t="s">
        <v>360</v>
      </c>
      <c r="D161" s="30"/>
      <c r="E161" s="174">
        <v>0</v>
      </c>
      <c r="F161" s="174">
        <v>0</v>
      </c>
      <c r="G161" s="174">
        <v>0</v>
      </c>
      <c r="H161" s="174">
        <f t="shared" si="7"/>
        <v>0</v>
      </c>
      <c r="I161" s="226"/>
      <c r="J161" s="174">
        <v>0</v>
      </c>
      <c r="K161" s="174">
        <v>0</v>
      </c>
      <c r="L161" s="174">
        <v>0</v>
      </c>
      <c r="M161" s="174"/>
      <c r="N161" s="221"/>
      <c r="O161" s="198"/>
      <c r="P161" s="198">
        <v>202488.65000000002</v>
      </c>
      <c r="Q161" s="198">
        <v>-20000</v>
      </c>
      <c r="R161" s="199">
        <f t="shared" si="8"/>
        <v>182488.65000000002</v>
      </c>
      <c r="U161" s="199"/>
      <c r="V161" s="199">
        <v>0</v>
      </c>
      <c r="W161" s="291"/>
      <c r="X161" s="291"/>
      <c r="Y161" s="291"/>
      <c r="Z161" s="291"/>
      <c r="AA161" s="291">
        <v>0</v>
      </c>
      <c r="AB161" s="291">
        <v>0</v>
      </c>
      <c r="AC161" s="291">
        <v>-35973.280244607711</v>
      </c>
      <c r="AE161" s="176">
        <f t="shared" si="9"/>
        <v>-20000</v>
      </c>
      <c r="AF161" s="176">
        <f t="shared" si="9"/>
        <v>166515.36975539231</v>
      </c>
    </row>
    <row r="162" spans="1:32">
      <c r="A162" s="168">
        <v>4041</v>
      </c>
      <c r="B162" s="2">
        <v>148553</v>
      </c>
      <c r="C162" s="2" t="s">
        <v>361</v>
      </c>
      <c r="D162" s="30"/>
      <c r="E162" s="174">
        <v>0</v>
      </c>
      <c r="F162" s="174">
        <v>0</v>
      </c>
      <c r="G162" s="174">
        <v>0</v>
      </c>
      <c r="H162" s="174">
        <f t="shared" si="7"/>
        <v>0</v>
      </c>
      <c r="I162" s="226"/>
      <c r="J162" s="174">
        <v>0</v>
      </c>
      <c r="K162" s="174">
        <v>0</v>
      </c>
      <c r="L162" s="174">
        <v>0</v>
      </c>
      <c r="M162" s="174"/>
      <c r="N162" s="221"/>
      <c r="O162" s="198"/>
      <c r="P162" s="198">
        <v>211716.43999999997</v>
      </c>
      <c r="Q162" s="198">
        <v>0</v>
      </c>
      <c r="R162" s="199">
        <f t="shared" si="8"/>
        <v>211716.43999999997</v>
      </c>
      <c r="U162" s="199"/>
      <c r="V162" s="199">
        <v>0</v>
      </c>
      <c r="W162" s="291"/>
      <c r="X162" s="291"/>
      <c r="Y162" s="291"/>
      <c r="Z162" s="291"/>
      <c r="AA162" s="291">
        <v>0</v>
      </c>
      <c r="AB162" s="291">
        <v>0</v>
      </c>
      <c r="AC162" s="291">
        <v>50376.667692307645</v>
      </c>
      <c r="AE162" s="176">
        <f t="shared" si="9"/>
        <v>0</v>
      </c>
      <c r="AF162" s="176">
        <f t="shared" si="9"/>
        <v>262093.10769230762</v>
      </c>
    </row>
    <row r="163" spans="1:32">
      <c r="A163" s="168">
        <v>2003</v>
      </c>
      <c r="B163" s="2">
        <v>142230</v>
      </c>
      <c r="C163" s="2" t="s">
        <v>362</v>
      </c>
      <c r="D163" s="30"/>
      <c r="E163" s="174">
        <v>0</v>
      </c>
      <c r="F163" s="174">
        <v>0</v>
      </c>
      <c r="G163" s="174">
        <v>0</v>
      </c>
      <c r="H163" s="174">
        <f t="shared" si="7"/>
        <v>0</v>
      </c>
      <c r="I163" s="226"/>
      <c r="J163" s="174">
        <v>0</v>
      </c>
      <c r="K163" s="174">
        <v>0</v>
      </c>
      <c r="L163" s="174">
        <v>0</v>
      </c>
      <c r="M163" s="174"/>
      <c r="N163" s="221"/>
      <c r="O163" s="198"/>
      <c r="P163" s="198">
        <v>85770.15</v>
      </c>
      <c r="Q163" s="198">
        <v>-1666.6666666666667</v>
      </c>
      <c r="R163" s="199">
        <f t="shared" si="8"/>
        <v>84103.483333333323</v>
      </c>
      <c r="U163" s="199"/>
      <c r="V163" s="199">
        <v>0</v>
      </c>
      <c r="W163" s="291"/>
      <c r="X163" s="291"/>
      <c r="Y163" s="291"/>
      <c r="Z163" s="291"/>
      <c r="AA163" s="291">
        <v>0</v>
      </c>
      <c r="AB163" s="291">
        <v>0</v>
      </c>
      <c r="AC163" s="291">
        <v>96959.490320512821</v>
      </c>
      <c r="AE163" s="176">
        <f t="shared" si="9"/>
        <v>-1666.6666666666667</v>
      </c>
      <c r="AF163" s="176">
        <f t="shared" si="9"/>
        <v>182729.64032051282</v>
      </c>
    </row>
    <row r="164" spans="1:32">
      <c r="A164" s="168">
        <v>2156</v>
      </c>
      <c r="B164" s="2">
        <v>143436</v>
      </c>
      <c r="C164" s="2" t="s">
        <v>363</v>
      </c>
      <c r="D164" s="30"/>
      <c r="E164" s="174">
        <v>0</v>
      </c>
      <c r="F164" s="174">
        <v>0</v>
      </c>
      <c r="G164" s="174">
        <v>0</v>
      </c>
      <c r="H164" s="174">
        <f t="shared" si="7"/>
        <v>0</v>
      </c>
      <c r="I164" s="226"/>
      <c r="J164" s="174">
        <v>0</v>
      </c>
      <c r="K164" s="174">
        <v>0</v>
      </c>
      <c r="L164" s="174">
        <v>0</v>
      </c>
      <c r="M164" s="174"/>
      <c r="N164" s="221"/>
      <c r="O164" s="198"/>
      <c r="P164" s="198">
        <v>0</v>
      </c>
      <c r="Q164" s="198">
        <v>0</v>
      </c>
      <c r="R164" s="199">
        <f t="shared" si="8"/>
        <v>0</v>
      </c>
      <c r="U164" s="199"/>
      <c r="V164" s="199">
        <v>0</v>
      </c>
      <c r="W164" s="291"/>
      <c r="X164" s="291"/>
      <c r="Y164" s="291"/>
      <c r="Z164" s="291"/>
      <c r="AA164" s="291">
        <v>0</v>
      </c>
      <c r="AB164" s="291">
        <v>0</v>
      </c>
      <c r="AC164" s="291">
        <v>0</v>
      </c>
      <c r="AE164" s="176">
        <f t="shared" si="9"/>
        <v>0</v>
      </c>
      <c r="AF164" s="176">
        <f t="shared" si="9"/>
        <v>0</v>
      </c>
    </row>
    <row r="165" spans="1:32">
      <c r="A165" s="168">
        <v>2198</v>
      </c>
      <c r="B165" s="2">
        <v>146817</v>
      </c>
      <c r="C165" s="2" t="s">
        <v>364</v>
      </c>
      <c r="D165" s="30"/>
      <c r="E165" s="174">
        <v>0</v>
      </c>
      <c r="F165" s="174">
        <v>0</v>
      </c>
      <c r="G165" s="174">
        <v>0</v>
      </c>
      <c r="H165" s="174">
        <f t="shared" si="7"/>
        <v>0</v>
      </c>
      <c r="I165" s="226"/>
      <c r="J165" s="174">
        <v>0</v>
      </c>
      <c r="K165" s="174">
        <v>0</v>
      </c>
      <c r="L165" s="174">
        <v>0</v>
      </c>
      <c r="M165" s="174"/>
      <c r="N165" s="221"/>
      <c r="O165" s="198"/>
      <c r="P165" s="198">
        <v>0</v>
      </c>
      <c r="Q165" s="198">
        <v>0</v>
      </c>
      <c r="R165" s="199">
        <f t="shared" si="8"/>
        <v>0</v>
      </c>
      <c r="U165" s="199"/>
      <c r="V165" s="199">
        <v>0</v>
      </c>
      <c r="W165" s="291"/>
      <c r="X165" s="291"/>
      <c r="Y165" s="291"/>
      <c r="Z165" s="291"/>
      <c r="AA165" s="291">
        <v>0</v>
      </c>
      <c r="AB165" s="291">
        <v>0</v>
      </c>
      <c r="AC165" s="291">
        <v>0</v>
      </c>
      <c r="AE165" s="176">
        <f t="shared" si="9"/>
        <v>0</v>
      </c>
      <c r="AF165" s="176">
        <f t="shared" si="9"/>
        <v>0</v>
      </c>
    </row>
    <row r="166" spans="1:32">
      <c r="A166" s="168">
        <v>7001</v>
      </c>
      <c r="B166" s="2">
        <v>146858</v>
      </c>
      <c r="C166" s="2" t="s">
        <v>365</v>
      </c>
      <c r="D166" s="30"/>
      <c r="E166" s="174">
        <v>379800</v>
      </c>
      <c r="F166" s="174">
        <v>2137832.7290179213</v>
      </c>
      <c r="G166" s="174">
        <v>244200</v>
      </c>
      <c r="H166" s="174">
        <f t="shared" si="7"/>
        <v>2761832.7290179213</v>
      </c>
      <c r="I166" s="226"/>
      <c r="J166" s="174">
        <v>258230.76923076919</v>
      </c>
      <c r="K166" s="174">
        <v>3042</v>
      </c>
      <c r="L166" s="174">
        <v>0</v>
      </c>
      <c r="M166" s="174"/>
      <c r="N166" s="221"/>
      <c r="O166" s="198"/>
      <c r="P166" s="198">
        <v>0</v>
      </c>
      <c r="Q166" s="198">
        <v>0</v>
      </c>
      <c r="R166" s="199">
        <f t="shared" si="8"/>
        <v>0</v>
      </c>
      <c r="U166" s="199"/>
      <c r="V166" s="199">
        <v>0</v>
      </c>
      <c r="W166" s="291"/>
      <c r="X166" s="291"/>
      <c r="Y166" s="291"/>
      <c r="Z166" s="291"/>
      <c r="AA166" s="291">
        <v>10550</v>
      </c>
      <c r="AB166" s="291">
        <v>371055.80272153858</v>
      </c>
      <c r="AC166" s="291">
        <v>0</v>
      </c>
      <c r="AE166" s="176">
        <f t="shared" si="9"/>
        <v>390350</v>
      </c>
      <c r="AF166" s="176">
        <f t="shared" si="9"/>
        <v>3014361.3009702289</v>
      </c>
    </row>
    <row r="167" spans="1:32">
      <c r="A167" s="168">
        <v>3004</v>
      </c>
      <c r="B167" s="2">
        <v>143439</v>
      </c>
      <c r="C167" s="2" t="s">
        <v>366</v>
      </c>
      <c r="D167" s="30"/>
      <c r="E167" s="174">
        <v>0</v>
      </c>
      <c r="F167" s="174">
        <v>0</v>
      </c>
      <c r="G167" s="174">
        <v>0</v>
      </c>
      <c r="H167" s="174">
        <f t="shared" si="7"/>
        <v>0</v>
      </c>
      <c r="I167" s="226"/>
      <c r="J167" s="174">
        <v>0</v>
      </c>
      <c r="K167" s="174">
        <v>0</v>
      </c>
      <c r="L167" s="174">
        <v>0</v>
      </c>
      <c r="M167" s="174"/>
      <c r="N167" s="221"/>
      <c r="O167" s="198"/>
      <c r="P167" s="198">
        <v>0</v>
      </c>
      <c r="Q167" s="198">
        <v>0</v>
      </c>
      <c r="R167" s="199">
        <f t="shared" si="8"/>
        <v>0</v>
      </c>
      <c r="U167" s="199"/>
      <c r="V167" s="199">
        <v>0</v>
      </c>
      <c r="W167" s="291"/>
      <c r="X167" s="291"/>
      <c r="Y167" s="291"/>
      <c r="Z167" s="291"/>
      <c r="AA167" s="291">
        <v>0</v>
      </c>
      <c r="AB167" s="291">
        <v>0</v>
      </c>
      <c r="AC167" s="291">
        <v>0</v>
      </c>
      <c r="AE167" s="176">
        <f t="shared" si="9"/>
        <v>0</v>
      </c>
      <c r="AF167" s="176">
        <f t="shared" si="9"/>
        <v>0</v>
      </c>
    </row>
    <row r="168" spans="1:32">
      <c r="A168" s="168">
        <v>1107</v>
      </c>
      <c r="B168" s="2">
        <v>139671</v>
      </c>
      <c r="C168" s="2" t="s">
        <v>367</v>
      </c>
      <c r="D168" s="30"/>
      <c r="E168" s="174">
        <v>0</v>
      </c>
      <c r="F168" s="174">
        <v>0</v>
      </c>
      <c r="G168" s="174">
        <v>0</v>
      </c>
      <c r="H168" s="174">
        <f t="shared" si="7"/>
        <v>0</v>
      </c>
      <c r="I168" s="226"/>
      <c r="J168" s="174">
        <v>0</v>
      </c>
      <c r="K168" s="174">
        <v>0</v>
      </c>
      <c r="L168" s="174">
        <v>0</v>
      </c>
      <c r="M168" s="174"/>
      <c r="N168" s="221"/>
      <c r="O168" s="198"/>
      <c r="P168" s="198">
        <v>0</v>
      </c>
      <c r="Q168" s="198">
        <v>0</v>
      </c>
      <c r="R168" s="199">
        <f t="shared" si="8"/>
        <v>0</v>
      </c>
      <c r="U168" s="199"/>
      <c r="V168" s="199">
        <v>0</v>
      </c>
      <c r="W168" s="291"/>
      <c r="X168" s="291"/>
      <c r="Y168" s="291"/>
      <c r="Z168" s="291"/>
      <c r="AA168" s="291">
        <v>0</v>
      </c>
      <c r="AB168" s="291">
        <v>0</v>
      </c>
      <c r="AC168" s="291">
        <v>0</v>
      </c>
      <c r="AE168" s="176">
        <f t="shared" si="9"/>
        <v>0</v>
      </c>
      <c r="AF168" s="176">
        <f t="shared" si="9"/>
        <v>0</v>
      </c>
    </row>
    <row r="169" spans="1:32">
      <c r="A169" s="168">
        <v>2080</v>
      </c>
      <c r="B169" s="2">
        <v>139002</v>
      </c>
      <c r="C169" s="2" t="s">
        <v>368</v>
      </c>
      <c r="D169" s="30"/>
      <c r="E169" s="174">
        <v>0</v>
      </c>
      <c r="F169" s="174">
        <v>0</v>
      </c>
      <c r="G169" s="174">
        <v>0</v>
      </c>
      <c r="H169" s="174">
        <f t="shared" si="7"/>
        <v>0</v>
      </c>
      <c r="I169" s="226"/>
      <c r="J169" s="174">
        <v>0</v>
      </c>
      <c r="K169" s="174">
        <v>0</v>
      </c>
      <c r="L169" s="174">
        <v>0</v>
      </c>
      <c r="M169" s="174"/>
      <c r="N169" s="221"/>
      <c r="O169" s="198"/>
      <c r="P169" s="198">
        <v>0</v>
      </c>
      <c r="Q169" s="198">
        <v>0</v>
      </c>
      <c r="R169" s="199">
        <f t="shared" si="8"/>
        <v>0</v>
      </c>
      <c r="U169" s="199"/>
      <c r="V169" s="199">
        <v>0</v>
      </c>
      <c r="W169" s="291"/>
      <c r="X169" s="291"/>
      <c r="Y169" s="291"/>
      <c r="Z169" s="291"/>
      <c r="AA169" s="291">
        <v>0</v>
      </c>
      <c r="AB169" s="291">
        <v>0</v>
      </c>
      <c r="AC169" s="291">
        <v>0</v>
      </c>
      <c r="AE169" s="176">
        <f t="shared" ref="AE169:AF200" si="10">SUMIFS($E169:$H169,$E$3:$H$3,AE$7)+SUMIFS($O169:$R169,$O$3:$R$3,AE$7)+SUMIFS($J169:$M169,$J$3:$M$3,AE$7)+SUMIFS($U169:$AC169,$U$3:$AC$3,AE$7)</f>
        <v>0</v>
      </c>
      <c r="AF169" s="176">
        <f t="shared" si="10"/>
        <v>0</v>
      </c>
    </row>
    <row r="170" spans="1:32">
      <c r="A170" s="168">
        <v>2460</v>
      </c>
      <c r="B170" s="2">
        <v>140262</v>
      </c>
      <c r="C170" s="2" t="s">
        <v>369</v>
      </c>
      <c r="D170" s="30"/>
      <c r="E170" s="174">
        <v>0</v>
      </c>
      <c r="F170" s="174">
        <v>0</v>
      </c>
      <c r="G170" s="174">
        <v>0</v>
      </c>
      <c r="H170" s="174">
        <f t="shared" si="7"/>
        <v>0</v>
      </c>
      <c r="I170" s="226"/>
      <c r="J170" s="174">
        <v>0</v>
      </c>
      <c r="K170" s="174">
        <v>0</v>
      </c>
      <c r="L170" s="174">
        <v>0</v>
      </c>
      <c r="M170" s="174"/>
      <c r="N170" s="221"/>
      <c r="O170" s="198"/>
      <c r="P170" s="198">
        <v>0</v>
      </c>
      <c r="Q170" s="198">
        <v>0</v>
      </c>
      <c r="R170" s="199">
        <f t="shared" si="8"/>
        <v>0</v>
      </c>
      <c r="U170" s="199"/>
      <c r="V170" s="199">
        <v>0</v>
      </c>
      <c r="W170" s="291"/>
      <c r="X170" s="291"/>
      <c r="Y170" s="291"/>
      <c r="Z170" s="291"/>
      <c r="AA170" s="291">
        <v>0</v>
      </c>
      <c r="AB170" s="291">
        <v>0</v>
      </c>
      <c r="AC170" s="291">
        <v>0</v>
      </c>
      <c r="AE170" s="176">
        <f t="shared" si="10"/>
        <v>0</v>
      </c>
      <c r="AF170" s="176">
        <f t="shared" si="10"/>
        <v>0</v>
      </c>
    </row>
    <row r="171" spans="1:32">
      <c r="A171" s="168">
        <v>4323</v>
      </c>
      <c r="B171" s="2">
        <v>138059</v>
      </c>
      <c r="C171" s="2" t="s">
        <v>370</v>
      </c>
      <c r="D171" s="30"/>
      <c r="E171" s="174">
        <v>0</v>
      </c>
      <c r="F171" s="174">
        <v>0</v>
      </c>
      <c r="G171" s="174">
        <v>0</v>
      </c>
      <c r="H171" s="174">
        <f t="shared" si="7"/>
        <v>0</v>
      </c>
      <c r="I171" s="226"/>
      <c r="J171" s="174">
        <v>0</v>
      </c>
      <c r="K171" s="174">
        <v>0</v>
      </c>
      <c r="L171" s="174">
        <v>0</v>
      </c>
      <c r="M171" s="174"/>
      <c r="N171" s="221"/>
      <c r="O171" s="198"/>
      <c r="P171" s="198">
        <v>0</v>
      </c>
      <c r="Q171" s="198">
        <v>0</v>
      </c>
      <c r="R171" s="199">
        <f t="shared" si="8"/>
        <v>0</v>
      </c>
      <c r="U171" s="199"/>
      <c r="V171" s="199">
        <v>0</v>
      </c>
      <c r="W171" s="291"/>
      <c r="X171" s="291"/>
      <c r="Y171" s="291"/>
      <c r="Z171" s="291"/>
      <c r="AA171" s="291">
        <v>0</v>
      </c>
      <c r="AB171" s="291">
        <v>0</v>
      </c>
      <c r="AC171" s="291">
        <v>0</v>
      </c>
      <c r="AE171" s="176">
        <f t="shared" si="10"/>
        <v>0</v>
      </c>
      <c r="AF171" s="176">
        <f t="shared" si="10"/>
        <v>0</v>
      </c>
    </row>
    <row r="172" spans="1:32">
      <c r="A172" s="168">
        <v>2481</v>
      </c>
      <c r="B172" s="2">
        <v>137168</v>
      </c>
      <c r="C172" s="2" t="s">
        <v>371</v>
      </c>
      <c r="D172" s="30"/>
      <c r="E172" s="174">
        <v>0</v>
      </c>
      <c r="F172" s="174">
        <v>0</v>
      </c>
      <c r="G172" s="174">
        <v>0</v>
      </c>
      <c r="H172" s="174">
        <f t="shared" si="7"/>
        <v>0</v>
      </c>
      <c r="I172" s="226"/>
      <c r="J172" s="174">
        <v>0</v>
      </c>
      <c r="K172" s="174">
        <v>0</v>
      </c>
      <c r="L172" s="174">
        <v>0</v>
      </c>
      <c r="M172" s="174"/>
      <c r="N172" s="221"/>
      <c r="O172" s="198"/>
      <c r="P172" s="198">
        <v>141683.44999999998</v>
      </c>
      <c r="Q172" s="198">
        <v>-23333.333333333332</v>
      </c>
      <c r="R172" s="199">
        <f t="shared" si="8"/>
        <v>118350.11666666665</v>
      </c>
      <c r="U172" s="199"/>
      <c r="V172" s="199">
        <v>0</v>
      </c>
      <c r="W172" s="291"/>
      <c r="X172" s="291"/>
      <c r="Y172" s="291"/>
      <c r="Z172" s="291"/>
      <c r="AA172" s="291">
        <v>0</v>
      </c>
      <c r="AB172" s="291">
        <v>0</v>
      </c>
      <c r="AC172" s="291">
        <v>0</v>
      </c>
      <c r="AE172" s="176">
        <f t="shared" si="10"/>
        <v>-23333.333333333332</v>
      </c>
      <c r="AF172" s="176">
        <f t="shared" si="10"/>
        <v>141683.44999999998</v>
      </c>
    </row>
    <row r="173" spans="1:32">
      <c r="A173" s="168">
        <v>2202</v>
      </c>
      <c r="B173" s="2">
        <v>147109</v>
      </c>
      <c r="C173" s="2" t="s">
        <v>372</v>
      </c>
      <c r="D173" s="30"/>
      <c r="E173" s="174">
        <v>0</v>
      </c>
      <c r="F173" s="174">
        <v>0</v>
      </c>
      <c r="G173" s="174">
        <v>0</v>
      </c>
      <c r="H173" s="174">
        <f t="shared" si="7"/>
        <v>0</v>
      </c>
      <c r="I173" s="226"/>
      <c r="J173" s="174">
        <v>0</v>
      </c>
      <c r="K173" s="174">
        <v>0</v>
      </c>
      <c r="L173" s="174">
        <v>0</v>
      </c>
      <c r="M173" s="174"/>
      <c r="N173" s="221"/>
      <c r="O173" s="198"/>
      <c r="P173" s="198">
        <v>0</v>
      </c>
      <c r="Q173" s="198">
        <v>0</v>
      </c>
      <c r="R173" s="199">
        <f t="shared" si="8"/>
        <v>0</v>
      </c>
      <c r="U173" s="199"/>
      <c r="V173" s="199">
        <v>0</v>
      </c>
      <c r="W173" s="291"/>
      <c r="X173" s="291"/>
      <c r="Y173" s="291"/>
      <c r="Z173" s="291"/>
      <c r="AA173" s="291">
        <v>0</v>
      </c>
      <c r="AB173" s="291">
        <v>0</v>
      </c>
      <c r="AC173" s="291">
        <v>0</v>
      </c>
      <c r="AE173" s="176">
        <f t="shared" si="10"/>
        <v>0</v>
      </c>
      <c r="AF173" s="176">
        <f t="shared" si="10"/>
        <v>0</v>
      </c>
    </row>
    <row r="174" spans="1:32">
      <c r="A174" s="168">
        <v>3302</v>
      </c>
      <c r="B174" s="2">
        <v>147478</v>
      </c>
      <c r="C174" s="2" t="s">
        <v>373</v>
      </c>
      <c r="D174" s="30"/>
      <c r="E174" s="174">
        <v>0</v>
      </c>
      <c r="F174" s="174">
        <v>0</v>
      </c>
      <c r="G174" s="174">
        <v>0</v>
      </c>
      <c r="H174" s="174">
        <f t="shared" si="7"/>
        <v>0</v>
      </c>
      <c r="I174" s="226"/>
      <c r="J174" s="174">
        <v>0</v>
      </c>
      <c r="K174" s="174">
        <v>0</v>
      </c>
      <c r="L174" s="174">
        <v>0</v>
      </c>
      <c r="M174" s="174"/>
      <c r="N174" s="221"/>
      <c r="O174" s="198"/>
      <c r="P174" s="198">
        <v>0</v>
      </c>
      <c r="Q174" s="198">
        <v>0</v>
      </c>
      <c r="R174" s="199">
        <f t="shared" si="8"/>
        <v>0</v>
      </c>
      <c r="U174" s="199"/>
      <c r="V174" s="199">
        <v>0</v>
      </c>
      <c r="W174" s="291"/>
      <c r="X174" s="291"/>
      <c r="Y174" s="291"/>
      <c r="Z174" s="291"/>
      <c r="AA174" s="291">
        <v>0</v>
      </c>
      <c r="AB174" s="291">
        <v>0</v>
      </c>
      <c r="AC174" s="291">
        <v>0</v>
      </c>
      <c r="AE174" s="176">
        <f t="shared" si="10"/>
        <v>0</v>
      </c>
      <c r="AF174" s="176">
        <f t="shared" si="10"/>
        <v>0</v>
      </c>
    </row>
    <row r="175" spans="1:32">
      <c r="A175" s="168">
        <v>4018</v>
      </c>
      <c r="B175" s="2">
        <v>141668</v>
      </c>
      <c r="C175" s="2" t="s">
        <v>374</v>
      </c>
      <c r="D175" s="30"/>
      <c r="E175" s="174">
        <v>0</v>
      </c>
      <c r="F175" s="174">
        <v>0</v>
      </c>
      <c r="G175" s="174">
        <v>0</v>
      </c>
      <c r="H175" s="174">
        <f t="shared" si="7"/>
        <v>0</v>
      </c>
      <c r="I175" s="226"/>
      <c r="J175" s="174">
        <v>0</v>
      </c>
      <c r="K175" s="174">
        <v>0</v>
      </c>
      <c r="L175" s="174">
        <v>0</v>
      </c>
      <c r="M175" s="174"/>
      <c r="N175" s="221"/>
      <c r="O175" s="198"/>
      <c r="P175" s="198">
        <v>590176.68000000017</v>
      </c>
      <c r="Q175" s="198">
        <v>-66666.666666666672</v>
      </c>
      <c r="R175" s="199">
        <f t="shared" si="8"/>
        <v>523510.01333333348</v>
      </c>
      <c r="U175" s="199"/>
      <c r="V175" s="199">
        <v>0</v>
      </c>
      <c r="W175" s="291"/>
      <c r="X175" s="291"/>
      <c r="Y175" s="291"/>
      <c r="Z175" s="291"/>
      <c r="AA175" s="291">
        <v>0</v>
      </c>
      <c r="AB175" s="291">
        <v>0</v>
      </c>
      <c r="AC175" s="291">
        <v>-54063.081250000163</v>
      </c>
      <c r="AE175" s="176">
        <f t="shared" si="10"/>
        <v>-66666.666666666672</v>
      </c>
      <c r="AF175" s="176">
        <f t="shared" si="10"/>
        <v>536113.59875</v>
      </c>
    </row>
    <row r="176" spans="1:32">
      <c r="A176" s="168">
        <v>2037</v>
      </c>
      <c r="B176" s="2">
        <v>138590</v>
      </c>
      <c r="C176" s="2" t="s">
        <v>375</v>
      </c>
      <c r="D176" s="30"/>
      <c r="E176" s="174">
        <v>0</v>
      </c>
      <c r="F176" s="174">
        <v>0</v>
      </c>
      <c r="G176" s="174">
        <v>0</v>
      </c>
      <c r="H176" s="174">
        <f t="shared" si="7"/>
        <v>0</v>
      </c>
      <c r="I176" s="226"/>
      <c r="J176" s="174">
        <v>0</v>
      </c>
      <c r="K176" s="174">
        <v>0</v>
      </c>
      <c r="L176" s="174">
        <v>0</v>
      </c>
      <c r="M176" s="174"/>
      <c r="N176" s="221"/>
      <c r="O176" s="198"/>
      <c r="P176" s="198">
        <v>0</v>
      </c>
      <c r="Q176" s="198">
        <v>0</v>
      </c>
      <c r="R176" s="199">
        <f t="shared" si="8"/>
        <v>0</v>
      </c>
      <c r="U176" s="199"/>
      <c r="V176" s="199">
        <v>0</v>
      </c>
      <c r="W176" s="291"/>
      <c r="X176" s="291"/>
      <c r="Y176" s="291"/>
      <c r="Z176" s="291"/>
      <c r="AA176" s="291">
        <v>0</v>
      </c>
      <c r="AB176" s="291">
        <v>0</v>
      </c>
      <c r="AC176" s="291">
        <v>0</v>
      </c>
      <c r="AE176" s="176">
        <f t="shared" si="10"/>
        <v>0</v>
      </c>
      <c r="AF176" s="176">
        <f t="shared" si="10"/>
        <v>0</v>
      </c>
    </row>
    <row r="177" spans="1:32">
      <c r="A177" s="168">
        <v>4025</v>
      </c>
      <c r="B177" s="2">
        <v>144464</v>
      </c>
      <c r="C177" s="2" t="s">
        <v>376</v>
      </c>
      <c r="D177" s="30"/>
      <c r="E177" s="174">
        <v>0</v>
      </c>
      <c r="F177" s="174">
        <v>0</v>
      </c>
      <c r="G177" s="174">
        <v>0</v>
      </c>
      <c r="H177" s="174">
        <f t="shared" si="7"/>
        <v>0</v>
      </c>
      <c r="I177" s="226"/>
      <c r="J177" s="174">
        <v>0</v>
      </c>
      <c r="K177" s="174">
        <v>0</v>
      </c>
      <c r="L177" s="174">
        <v>0</v>
      </c>
      <c r="M177" s="174"/>
      <c r="N177" s="221"/>
      <c r="O177" s="198"/>
      <c r="P177" s="198">
        <v>46025.5</v>
      </c>
      <c r="Q177" s="198">
        <v>-8333.3333333333339</v>
      </c>
      <c r="R177" s="199">
        <f t="shared" si="8"/>
        <v>37692.166666666664</v>
      </c>
      <c r="U177" s="199"/>
      <c r="V177" s="199">
        <v>0</v>
      </c>
      <c r="W177" s="291"/>
      <c r="X177" s="291"/>
      <c r="Y177" s="291"/>
      <c r="Z177" s="291"/>
      <c r="AA177" s="291">
        <v>0</v>
      </c>
      <c r="AB177" s="291">
        <v>0</v>
      </c>
      <c r="AC177" s="291">
        <v>0</v>
      </c>
      <c r="AE177" s="176">
        <f t="shared" si="10"/>
        <v>-8333.3333333333339</v>
      </c>
      <c r="AF177" s="176">
        <f t="shared" si="10"/>
        <v>46025.5</v>
      </c>
    </row>
    <row r="178" spans="1:32">
      <c r="A178" s="168">
        <v>2181</v>
      </c>
      <c r="B178" s="2">
        <v>144722</v>
      </c>
      <c r="C178" s="2" t="s">
        <v>377</v>
      </c>
      <c r="D178" s="30"/>
      <c r="E178" s="174">
        <v>0</v>
      </c>
      <c r="F178" s="174">
        <v>0</v>
      </c>
      <c r="G178" s="174">
        <v>0</v>
      </c>
      <c r="H178" s="174">
        <f t="shared" si="7"/>
        <v>0</v>
      </c>
      <c r="I178" s="226"/>
      <c r="J178" s="174">
        <v>0</v>
      </c>
      <c r="K178" s="174">
        <v>0</v>
      </c>
      <c r="L178" s="174">
        <v>0</v>
      </c>
      <c r="M178" s="174"/>
      <c r="N178" s="221"/>
      <c r="O178" s="198"/>
      <c r="P178" s="198">
        <v>0</v>
      </c>
      <c r="Q178" s="198">
        <v>0</v>
      </c>
      <c r="R178" s="199">
        <f t="shared" si="8"/>
        <v>0</v>
      </c>
      <c r="U178" s="199"/>
      <c r="V178" s="199">
        <v>0</v>
      </c>
      <c r="W178" s="291"/>
      <c r="X178" s="291"/>
      <c r="Y178" s="291"/>
      <c r="Z178" s="291"/>
      <c r="AA178" s="291">
        <v>0</v>
      </c>
      <c r="AB178" s="291">
        <v>0</v>
      </c>
      <c r="AC178" s="291">
        <v>0</v>
      </c>
      <c r="AE178" s="176">
        <f t="shared" si="10"/>
        <v>0</v>
      </c>
      <c r="AF178" s="176">
        <f t="shared" si="10"/>
        <v>0</v>
      </c>
    </row>
    <row r="179" spans="1:32">
      <c r="A179" s="168">
        <v>2187</v>
      </c>
      <c r="B179" s="2">
        <v>146268</v>
      </c>
      <c r="C179" s="2" t="s">
        <v>378</v>
      </c>
      <c r="D179" s="30"/>
      <c r="E179" s="174">
        <v>0</v>
      </c>
      <c r="F179" s="174">
        <v>0</v>
      </c>
      <c r="G179" s="174">
        <v>0</v>
      </c>
      <c r="H179" s="174">
        <f t="shared" si="7"/>
        <v>0</v>
      </c>
      <c r="I179" s="226"/>
      <c r="J179" s="174">
        <v>0</v>
      </c>
      <c r="K179" s="174">
        <v>0</v>
      </c>
      <c r="L179" s="174">
        <v>0</v>
      </c>
      <c r="M179" s="174"/>
      <c r="N179" s="221"/>
      <c r="O179" s="198"/>
      <c r="P179" s="198">
        <v>0</v>
      </c>
      <c r="Q179" s="198">
        <v>0</v>
      </c>
      <c r="R179" s="199">
        <f t="shared" si="8"/>
        <v>0</v>
      </c>
      <c r="U179" s="199"/>
      <c r="V179" s="199">
        <v>0</v>
      </c>
      <c r="W179" s="291"/>
      <c r="X179" s="291"/>
      <c r="Y179" s="291"/>
      <c r="Z179" s="291"/>
      <c r="AA179" s="291">
        <v>0</v>
      </c>
      <c r="AB179" s="291">
        <v>0</v>
      </c>
      <c r="AC179" s="291">
        <v>0</v>
      </c>
      <c r="AE179" s="176">
        <f t="shared" si="10"/>
        <v>0</v>
      </c>
      <c r="AF179" s="176">
        <f t="shared" si="10"/>
        <v>0</v>
      </c>
    </row>
    <row r="180" spans="1:32">
      <c r="A180" s="168">
        <v>3362</v>
      </c>
      <c r="B180" s="2">
        <v>146298</v>
      </c>
      <c r="C180" s="2" t="s">
        <v>379</v>
      </c>
      <c r="D180" s="30"/>
      <c r="E180" s="174">
        <v>0</v>
      </c>
      <c r="F180" s="174">
        <v>0</v>
      </c>
      <c r="G180" s="174">
        <v>0</v>
      </c>
      <c r="H180" s="174">
        <f t="shared" si="7"/>
        <v>0</v>
      </c>
      <c r="I180" s="226"/>
      <c r="J180" s="174">
        <v>0</v>
      </c>
      <c r="K180" s="174">
        <v>0</v>
      </c>
      <c r="L180" s="174">
        <v>0</v>
      </c>
      <c r="M180" s="174"/>
      <c r="N180" s="221"/>
      <c r="O180" s="198"/>
      <c r="P180" s="198">
        <v>0</v>
      </c>
      <c r="Q180" s="198">
        <v>0</v>
      </c>
      <c r="R180" s="199">
        <f t="shared" si="8"/>
        <v>0</v>
      </c>
      <c r="U180" s="199"/>
      <c r="V180" s="199">
        <v>0</v>
      </c>
      <c r="W180" s="291"/>
      <c r="X180" s="291"/>
      <c r="Y180" s="291"/>
      <c r="Z180" s="291"/>
      <c r="AA180" s="291">
        <v>0</v>
      </c>
      <c r="AB180" s="291">
        <v>0</v>
      </c>
      <c r="AC180" s="291">
        <v>0</v>
      </c>
      <c r="AE180" s="176">
        <f t="shared" si="10"/>
        <v>0</v>
      </c>
      <c r="AF180" s="176">
        <f t="shared" si="10"/>
        <v>0</v>
      </c>
    </row>
    <row r="181" spans="1:32">
      <c r="A181" s="168">
        <v>3330</v>
      </c>
      <c r="B181" s="2">
        <v>141815</v>
      </c>
      <c r="C181" s="2" t="s">
        <v>380</v>
      </c>
      <c r="D181" s="30"/>
      <c r="E181" s="174">
        <v>0</v>
      </c>
      <c r="F181" s="174">
        <v>0</v>
      </c>
      <c r="G181" s="174">
        <v>0</v>
      </c>
      <c r="H181" s="174">
        <f t="shared" si="7"/>
        <v>0</v>
      </c>
      <c r="I181" s="226"/>
      <c r="J181" s="174">
        <v>0</v>
      </c>
      <c r="K181" s="174">
        <v>0</v>
      </c>
      <c r="L181" s="174">
        <v>0</v>
      </c>
      <c r="M181" s="174"/>
      <c r="N181" s="221"/>
      <c r="O181" s="198"/>
      <c r="P181" s="198">
        <v>0</v>
      </c>
      <c r="Q181" s="198">
        <v>0</v>
      </c>
      <c r="R181" s="199">
        <f t="shared" si="8"/>
        <v>0</v>
      </c>
      <c r="U181" s="199"/>
      <c r="V181" s="199">
        <v>0</v>
      </c>
      <c r="W181" s="291"/>
      <c r="X181" s="291"/>
      <c r="Y181" s="291"/>
      <c r="Z181" s="291"/>
      <c r="AA181" s="291">
        <v>0</v>
      </c>
      <c r="AB181" s="291">
        <v>0</v>
      </c>
      <c r="AC181" s="291">
        <v>0</v>
      </c>
      <c r="AE181" s="176">
        <f t="shared" si="10"/>
        <v>0</v>
      </c>
      <c r="AF181" s="176">
        <f t="shared" si="10"/>
        <v>0</v>
      </c>
    </row>
    <row r="182" spans="1:32">
      <c r="A182" s="168">
        <v>3337</v>
      </c>
      <c r="B182" s="2">
        <v>148440</v>
      </c>
      <c r="C182" s="2" t="s">
        <v>381</v>
      </c>
      <c r="D182" s="30"/>
      <c r="E182" s="174">
        <v>0</v>
      </c>
      <c r="F182" s="174">
        <v>0</v>
      </c>
      <c r="G182" s="174">
        <v>0</v>
      </c>
      <c r="H182" s="174">
        <f t="shared" si="7"/>
        <v>0</v>
      </c>
      <c r="I182" s="226"/>
      <c r="J182" s="174">
        <v>0</v>
      </c>
      <c r="K182" s="174">
        <v>0</v>
      </c>
      <c r="L182" s="174">
        <v>0</v>
      </c>
      <c r="M182" s="174"/>
      <c r="N182" s="221"/>
      <c r="O182" s="198"/>
      <c r="P182" s="198">
        <v>0</v>
      </c>
      <c r="Q182" s="198">
        <v>0</v>
      </c>
      <c r="R182" s="199">
        <f t="shared" si="8"/>
        <v>0</v>
      </c>
      <c r="U182" s="199"/>
      <c r="V182" s="199">
        <v>0</v>
      </c>
      <c r="W182" s="291"/>
      <c r="X182" s="291"/>
      <c r="Y182" s="291"/>
      <c r="Z182" s="291"/>
      <c r="AA182" s="291">
        <v>0</v>
      </c>
      <c r="AB182" s="291">
        <v>0</v>
      </c>
      <c r="AC182" s="291">
        <v>0</v>
      </c>
      <c r="AE182" s="176">
        <f t="shared" si="10"/>
        <v>0</v>
      </c>
      <c r="AF182" s="176">
        <f t="shared" si="10"/>
        <v>0</v>
      </c>
    </row>
    <row r="183" spans="1:32">
      <c r="A183" s="168">
        <v>2059</v>
      </c>
      <c r="B183" s="2">
        <v>138432</v>
      </c>
      <c r="C183" s="2" t="s">
        <v>382</v>
      </c>
      <c r="D183" s="30"/>
      <c r="E183" s="174">
        <v>0</v>
      </c>
      <c r="F183" s="174">
        <v>0</v>
      </c>
      <c r="G183" s="174">
        <v>0</v>
      </c>
      <c r="H183" s="174">
        <f t="shared" si="7"/>
        <v>0</v>
      </c>
      <c r="I183" s="226"/>
      <c r="J183" s="174">
        <v>0</v>
      </c>
      <c r="K183" s="174">
        <v>0</v>
      </c>
      <c r="L183" s="174">
        <v>0</v>
      </c>
      <c r="M183" s="174"/>
      <c r="N183" s="221"/>
      <c r="O183" s="198"/>
      <c r="P183" s="198">
        <v>0</v>
      </c>
      <c r="Q183" s="198">
        <v>0</v>
      </c>
      <c r="R183" s="199">
        <f t="shared" si="8"/>
        <v>0</v>
      </c>
      <c r="U183" s="199"/>
      <c r="V183" s="199">
        <v>0</v>
      </c>
      <c r="W183" s="291"/>
      <c r="X183" s="291"/>
      <c r="Y183" s="291"/>
      <c r="Z183" s="291"/>
      <c r="AA183" s="291">
        <v>0</v>
      </c>
      <c r="AB183" s="291">
        <v>0</v>
      </c>
      <c r="AC183" s="291">
        <v>0</v>
      </c>
      <c r="AE183" s="176">
        <f t="shared" si="10"/>
        <v>0</v>
      </c>
      <c r="AF183" s="176">
        <f t="shared" si="10"/>
        <v>0</v>
      </c>
    </row>
    <row r="184" spans="1:32">
      <c r="A184" s="168">
        <v>2154</v>
      </c>
      <c r="B184" s="2">
        <v>141669</v>
      </c>
      <c r="C184" s="2" t="s">
        <v>383</v>
      </c>
      <c r="D184" s="30"/>
      <c r="E184" s="174">
        <v>0</v>
      </c>
      <c r="F184" s="174">
        <v>0</v>
      </c>
      <c r="G184" s="174">
        <v>0</v>
      </c>
      <c r="H184" s="174">
        <f t="shared" si="7"/>
        <v>0</v>
      </c>
      <c r="I184" s="226"/>
      <c r="J184" s="174">
        <v>0</v>
      </c>
      <c r="K184" s="174">
        <v>0</v>
      </c>
      <c r="L184" s="174">
        <v>0</v>
      </c>
      <c r="M184" s="174"/>
      <c r="N184" s="221"/>
      <c r="O184" s="198"/>
      <c r="P184" s="198">
        <v>0</v>
      </c>
      <c r="Q184" s="198">
        <v>0</v>
      </c>
      <c r="R184" s="199">
        <f t="shared" si="8"/>
        <v>0</v>
      </c>
      <c r="U184" s="199"/>
      <c r="V184" s="199">
        <v>0</v>
      </c>
      <c r="W184" s="291"/>
      <c r="X184" s="291"/>
      <c r="Y184" s="291"/>
      <c r="Z184" s="291"/>
      <c r="AA184" s="291">
        <v>0</v>
      </c>
      <c r="AB184" s="291">
        <v>0</v>
      </c>
      <c r="AC184" s="291">
        <v>0</v>
      </c>
      <c r="AE184" s="176">
        <f t="shared" si="10"/>
        <v>0</v>
      </c>
      <c r="AF184" s="176">
        <f t="shared" si="10"/>
        <v>0</v>
      </c>
    </row>
    <row r="185" spans="1:32">
      <c r="A185" s="168">
        <v>4663</v>
      </c>
      <c r="B185" s="2">
        <v>147707</v>
      </c>
      <c r="C185" s="2" t="s">
        <v>384</v>
      </c>
      <c r="D185" s="30"/>
      <c r="E185" s="174">
        <v>0</v>
      </c>
      <c r="F185" s="174">
        <v>0</v>
      </c>
      <c r="G185" s="174">
        <v>0</v>
      </c>
      <c r="H185" s="174">
        <f t="shared" si="7"/>
        <v>0</v>
      </c>
      <c r="I185" s="226"/>
      <c r="J185" s="174">
        <v>0</v>
      </c>
      <c r="K185" s="174">
        <v>0</v>
      </c>
      <c r="L185" s="174">
        <v>0</v>
      </c>
      <c r="M185" s="174"/>
      <c r="N185" s="221"/>
      <c r="O185" s="198"/>
      <c r="P185" s="198">
        <v>0</v>
      </c>
      <c r="Q185" s="198">
        <v>0</v>
      </c>
      <c r="R185" s="199">
        <f t="shared" si="8"/>
        <v>0</v>
      </c>
      <c r="U185" s="199"/>
      <c r="V185" s="199">
        <v>0</v>
      </c>
      <c r="W185" s="291"/>
      <c r="X185" s="291"/>
      <c r="Y185" s="291"/>
      <c r="Z185" s="291"/>
      <c r="AA185" s="291">
        <v>0</v>
      </c>
      <c r="AB185" s="291">
        <v>0</v>
      </c>
      <c r="AC185" s="291">
        <v>0</v>
      </c>
      <c r="AE185" s="176">
        <f t="shared" si="10"/>
        <v>0</v>
      </c>
      <c r="AF185" s="176">
        <f t="shared" si="10"/>
        <v>0</v>
      </c>
    </row>
    <row r="186" spans="1:32">
      <c r="A186" s="168">
        <v>5205</v>
      </c>
      <c r="B186" s="2">
        <v>143434</v>
      </c>
      <c r="C186" s="2" t="s">
        <v>385</v>
      </c>
      <c r="D186" s="30"/>
      <c r="E186" s="174">
        <v>0</v>
      </c>
      <c r="F186" s="174">
        <v>0</v>
      </c>
      <c r="G186" s="174">
        <v>0</v>
      </c>
      <c r="H186" s="174">
        <f t="shared" si="7"/>
        <v>0</v>
      </c>
      <c r="I186" s="226"/>
      <c r="J186" s="174">
        <v>0</v>
      </c>
      <c r="K186" s="174">
        <v>0</v>
      </c>
      <c r="L186" s="174">
        <v>0</v>
      </c>
      <c r="M186" s="174"/>
      <c r="N186" s="221"/>
      <c r="O186" s="198"/>
      <c r="P186" s="198">
        <v>0</v>
      </c>
      <c r="Q186" s="198">
        <v>0</v>
      </c>
      <c r="R186" s="199">
        <f t="shared" si="8"/>
        <v>0</v>
      </c>
      <c r="U186" s="199"/>
      <c r="V186" s="199">
        <v>0</v>
      </c>
      <c r="W186" s="291"/>
      <c r="X186" s="291"/>
      <c r="Y186" s="291"/>
      <c r="Z186" s="291"/>
      <c r="AA186" s="291">
        <v>0</v>
      </c>
      <c r="AB186" s="291">
        <v>0</v>
      </c>
      <c r="AC186" s="291">
        <v>0</v>
      </c>
      <c r="AE186" s="176">
        <f t="shared" si="10"/>
        <v>0</v>
      </c>
      <c r="AF186" s="176">
        <f t="shared" si="10"/>
        <v>0</v>
      </c>
    </row>
    <row r="187" spans="1:32">
      <c r="A187" s="168">
        <v>2104</v>
      </c>
      <c r="B187" s="2">
        <v>139126</v>
      </c>
      <c r="C187" s="2" t="s">
        <v>386</v>
      </c>
      <c r="D187" s="30"/>
      <c r="E187" s="174">
        <v>0</v>
      </c>
      <c r="F187" s="174">
        <v>0</v>
      </c>
      <c r="G187" s="174">
        <v>0</v>
      </c>
      <c r="H187" s="174">
        <f t="shared" si="7"/>
        <v>0</v>
      </c>
      <c r="I187" s="226"/>
      <c r="J187" s="174">
        <v>0</v>
      </c>
      <c r="K187" s="174">
        <v>0</v>
      </c>
      <c r="L187" s="174">
        <v>0</v>
      </c>
      <c r="M187" s="174"/>
      <c r="N187" s="221"/>
      <c r="O187" s="198"/>
      <c r="P187" s="198">
        <v>0</v>
      </c>
      <c r="Q187" s="198">
        <v>0</v>
      </c>
      <c r="R187" s="199">
        <f t="shared" si="8"/>
        <v>0</v>
      </c>
      <c r="U187" s="199"/>
      <c r="V187" s="199">
        <v>0</v>
      </c>
      <c r="W187" s="291"/>
      <c r="X187" s="291"/>
      <c r="Y187" s="291"/>
      <c r="Z187" s="291"/>
      <c r="AA187" s="291">
        <v>0</v>
      </c>
      <c r="AB187" s="291">
        <v>0</v>
      </c>
      <c r="AC187" s="291">
        <v>0</v>
      </c>
      <c r="AE187" s="176">
        <f t="shared" si="10"/>
        <v>0</v>
      </c>
      <c r="AF187" s="176">
        <f t="shared" si="10"/>
        <v>0</v>
      </c>
    </row>
    <row r="188" spans="1:32">
      <c r="A188" s="168">
        <v>2120</v>
      </c>
      <c r="B188" s="2">
        <v>139267</v>
      </c>
      <c r="C188" s="2" t="s">
        <v>387</v>
      </c>
      <c r="D188" s="30"/>
      <c r="E188" s="174">
        <v>0</v>
      </c>
      <c r="F188" s="174">
        <v>0</v>
      </c>
      <c r="G188" s="174">
        <v>0</v>
      </c>
      <c r="H188" s="174">
        <f t="shared" si="7"/>
        <v>0</v>
      </c>
      <c r="I188" s="226"/>
      <c r="J188" s="174">
        <v>0</v>
      </c>
      <c r="K188" s="174">
        <v>0</v>
      </c>
      <c r="L188" s="174">
        <v>0</v>
      </c>
      <c r="M188" s="174"/>
      <c r="N188" s="221"/>
      <c r="O188" s="198"/>
      <c r="P188" s="198">
        <v>0</v>
      </c>
      <c r="Q188" s="198">
        <v>0</v>
      </c>
      <c r="R188" s="199">
        <f t="shared" si="8"/>
        <v>0</v>
      </c>
      <c r="U188" s="199"/>
      <c r="V188" s="199">
        <v>0</v>
      </c>
      <c r="W188" s="291"/>
      <c r="X188" s="291"/>
      <c r="Y188" s="291"/>
      <c r="Z188" s="291"/>
      <c r="AA188" s="291">
        <v>0</v>
      </c>
      <c r="AB188" s="291">
        <v>0</v>
      </c>
      <c r="AC188" s="291">
        <v>0</v>
      </c>
      <c r="AE188" s="176">
        <f t="shared" si="10"/>
        <v>0</v>
      </c>
      <c r="AF188" s="176">
        <f t="shared" si="10"/>
        <v>0</v>
      </c>
    </row>
    <row r="189" spans="1:32">
      <c r="A189" s="168">
        <v>3358</v>
      </c>
      <c r="B189" s="2">
        <v>141820</v>
      </c>
      <c r="C189" s="2" t="s">
        <v>388</v>
      </c>
      <c r="D189" s="30"/>
      <c r="E189" s="174">
        <v>0</v>
      </c>
      <c r="F189" s="174">
        <v>0</v>
      </c>
      <c r="G189" s="174">
        <v>0</v>
      </c>
      <c r="H189" s="174">
        <f t="shared" si="7"/>
        <v>0</v>
      </c>
      <c r="I189" s="226"/>
      <c r="J189" s="174">
        <v>0</v>
      </c>
      <c r="K189" s="174">
        <v>0</v>
      </c>
      <c r="L189" s="174">
        <v>0</v>
      </c>
      <c r="M189" s="174"/>
      <c r="N189" s="221"/>
      <c r="O189" s="198"/>
      <c r="P189" s="198">
        <v>0</v>
      </c>
      <c r="Q189" s="198">
        <v>0</v>
      </c>
      <c r="R189" s="199">
        <f t="shared" si="8"/>
        <v>0</v>
      </c>
      <c r="U189" s="199"/>
      <c r="V189" s="199">
        <v>0</v>
      </c>
      <c r="W189" s="291"/>
      <c r="X189" s="291"/>
      <c r="Y189" s="291"/>
      <c r="Z189" s="291"/>
      <c r="AA189" s="291">
        <v>0</v>
      </c>
      <c r="AB189" s="291">
        <v>0</v>
      </c>
      <c r="AC189" s="291">
        <v>0</v>
      </c>
      <c r="AE189" s="176">
        <f t="shared" si="10"/>
        <v>0</v>
      </c>
      <c r="AF189" s="176">
        <f t="shared" si="10"/>
        <v>0</v>
      </c>
    </row>
    <row r="190" spans="1:32">
      <c r="A190" s="168">
        <v>3360</v>
      </c>
      <c r="B190" s="2">
        <v>148266</v>
      </c>
      <c r="C190" s="2" t="s">
        <v>389</v>
      </c>
      <c r="D190" s="30"/>
      <c r="E190" s="174">
        <v>0</v>
      </c>
      <c r="F190" s="174">
        <v>0</v>
      </c>
      <c r="G190" s="174">
        <v>0</v>
      </c>
      <c r="H190" s="174">
        <f t="shared" si="7"/>
        <v>0</v>
      </c>
      <c r="I190" s="226"/>
      <c r="J190" s="174">
        <v>0</v>
      </c>
      <c r="K190" s="174">
        <v>0</v>
      </c>
      <c r="L190" s="174">
        <v>0</v>
      </c>
      <c r="M190" s="174"/>
      <c r="N190" s="221"/>
      <c r="O190" s="198"/>
      <c r="P190" s="198">
        <v>0</v>
      </c>
      <c r="Q190" s="198">
        <v>0</v>
      </c>
      <c r="R190" s="199">
        <f t="shared" si="8"/>
        <v>0</v>
      </c>
      <c r="U190" s="199"/>
      <c r="V190" s="199">
        <v>0</v>
      </c>
      <c r="W190" s="291"/>
      <c r="X190" s="291"/>
      <c r="Y190" s="291"/>
      <c r="Z190" s="291"/>
      <c r="AA190" s="291">
        <v>0</v>
      </c>
      <c r="AB190" s="291">
        <v>0</v>
      </c>
      <c r="AC190" s="291">
        <v>0</v>
      </c>
      <c r="AE190" s="176">
        <f t="shared" si="10"/>
        <v>0</v>
      </c>
      <c r="AF190" s="176">
        <f t="shared" si="10"/>
        <v>0</v>
      </c>
    </row>
    <row r="191" spans="1:32">
      <c r="A191" s="168">
        <v>2071</v>
      </c>
      <c r="B191" s="2">
        <v>138883</v>
      </c>
      <c r="C191" s="2" t="s">
        <v>390</v>
      </c>
      <c r="D191" s="30"/>
      <c r="E191" s="174">
        <v>0</v>
      </c>
      <c r="F191" s="174">
        <v>0</v>
      </c>
      <c r="G191" s="174">
        <v>0</v>
      </c>
      <c r="H191" s="174">
        <f t="shared" si="7"/>
        <v>0</v>
      </c>
      <c r="I191" s="226"/>
      <c r="J191" s="174">
        <v>0</v>
      </c>
      <c r="K191" s="174">
        <v>0</v>
      </c>
      <c r="L191" s="174">
        <v>0</v>
      </c>
      <c r="M191" s="174"/>
      <c r="N191" s="221"/>
      <c r="O191" s="198"/>
      <c r="P191" s="198">
        <v>0</v>
      </c>
      <c r="Q191" s="198">
        <v>0</v>
      </c>
      <c r="R191" s="199">
        <f t="shared" si="8"/>
        <v>0</v>
      </c>
      <c r="U191" s="199"/>
      <c r="V191" s="199">
        <v>0</v>
      </c>
      <c r="W191" s="291"/>
      <c r="X191" s="291"/>
      <c r="Y191" s="291"/>
      <c r="Z191" s="291"/>
      <c r="AA191" s="291">
        <v>0</v>
      </c>
      <c r="AB191" s="291">
        <v>0</v>
      </c>
      <c r="AC191" s="291">
        <v>0</v>
      </c>
      <c r="AE191" s="176">
        <f t="shared" si="10"/>
        <v>0</v>
      </c>
      <c r="AF191" s="176">
        <f t="shared" si="10"/>
        <v>0</v>
      </c>
    </row>
    <row r="192" spans="1:32">
      <c r="A192" s="168">
        <v>3306</v>
      </c>
      <c r="B192" s="2">
        <v>139173</v>
      </c>
      <c r="C192" s="2" t="s">
        <v>391</v>
      </c>
      <c r="D192" s="30"/>
      <c r="E192" s="174">
        <v>0</v>
      </c>
      <c r="F192" s="174">
        <v>0</v>
      </c>
      <c r="G192" s="174">
        <v>0</v>
      </c>
      <c r="H192" s="174">
        <f t="shared" si="7"/>
        <v>0</v>
      </c>
      <c r="I192" s="226"/>
      <c r="J192" s="174">
        <v>0</v>
      </c>
      <c r="K192" s="174">
        <v>0</v>
      </c>
      <c r="L192" s="174">
        <v>0</v>
      </c>
      <c r="M192" s="174"/>
      <c r="N192" s="221"/>
      <c r="O192" s="198"/>
      <c r="P192" s="198">
        <v>0</v>
      </c>
      <c r="Q192" s="198">
        <v>0</v>
      </c>
      <c r="R192" s="199">
        <f t="shared" si="8"/>
        <v>0</v>
      </c>
      <c r="U192" s="199"/>
      <c r="V192" s="199">
        <v>0</v>
      </c>
      <c r="W192" s="291"/>
      <c r="X192" s="291"/>
      <c r="Y192" s="291"/>
      <c r="Z192" s="291"/>
      <c r="AA192" s="291">
        <v>0</v>
      </c>
      <c r="AB192" s="291">
        <v>0</v>
      </c>
      <c r="AC192" s="291">
        <v>0</v>
      </c>
      <c r="AE192" s="176">
        <f t="shared" si="10"/>
        <v>0</v>
      </c>
      <c r="AF192" s="176">
        <f t="shared" si="10"/>
        <v>0</v>
      </c>
    </row>
    <row r="193" spans="1:32">
      <c r="A193" s="168">
        <v>2158</v>
      </c>
      <c r="B193" s="2">
        <v>141670</v>
      </c>
      <c r="C193" s="2" t="s">
        <v>392</v>
      </c>
      <c r="D193" s="30"/>
      <c r="E193" s="174">
        <v>0</v>
      </c>
      <c r="F193" s="174">
        <v>0</v>
      </c>
      <c r="G193" s="174">
        <v>0</v>
      </c>
      <c r="H193" s="174">
        <f t="shared" si="7"/>
        <v>0</v>
      </c>
      <c r="I193" s="226"/>
      <c r="J193" s="174">
        <v>0</v>
      </c>
      <c r="K193" s="174">
        <v>0</v>
      </c>
      <c r="L193" s="174">
        <v>0</v>
      </c>
      <c r="M193" s="174"/>
      <c r="N193" s="221"/>
      <c r="O193" s="198"/>
      <c r="P193" s="198">
        <v>0</v>
      </c>
      <c r="Q193" s="198">
        <v>0</v>
      </c>
      <c r="R193" s="199">
        <f t="shared" si="8"/>
        <v>0</v>
      </c>
      <c r="U193" s="199"/>
      <c r="V193" s="199">
        <v>0</v>
      </c>
      <c r="W193" s="291"/>
      <c r="X193" s="291"/>
      <c r="Y193" s="291"/>
      <c r="Z193" s="291"/>
      <c r="AA193" s="291">
        <v>0</v>
      </c>
      <c r="AB193" s="291">
        <v>0</v>
      </c>
      <c r="AC193" s="291">
        <v>0</v>
      </c>
      <c r="AE193" s="176">
        <f t="shared" si="10"/>
        <v>0</v>
      </c>
      <c r="AF193" s="176">
        <f t="shared" si="10"/>
        <v>0</v>
      </c>
    </row>
    <row r="194" spans="1:32">
      <c r="A194" s="168">
        <v>3339</v>
      </c>
      <c r="B194" s="2">
        <v>148441</v>
      </c>
      <c r="C194" s="2" t="s">
        <v>393</v>
      </c>
      <c r="D194" s="30"/>
      <c r="E194" s="174">
        <v>0</v>
      </c>
      <c r="F194" s="174">
        <v>0</v>
      </c>
      <c r="G194" s="174">
        <v>0</v>
      </c>
      <c r="H194" s="174">
        <f t="shared" si="7"/>
        <v>0</v>
      </c>
      <c r="I194" s="226"/>
      <c r="J194" s="174">
        <v>0</v>
      </c>
      <c r="K194" s="174">
        <v>0</v>
      </c>
      <c r="L194" s="174">
        <v>0</v>
      </c>
      <c r="M194" s="174"/>
      <c r="N194" s="221"/>
      <c r="O194" s="198"/>
      <c r="P194" s="198">
        <v>0</v>
      </c>
      <c r="Q194" s="198">
        <v>0</v>
      </c>
      <c r="R194" s="199">
        <f t="shared" si="8"/>
        <v>0</v>
      </c>
      <c r="U194" s="199"/>
      <c r="V194" s="199">
        <v>0</v>
      </c>
      <c r="W194" s="291"/>
      <c r="X194" s="291"/>
      <c r="Y194" s="291"/>
      <c r="Z194" s="291"/>
      <c r="AA194" s="291">
        <v>0</v>
      </c>
      <c r="AB194" s="291">
        <v>0</v>
      </c>
      <c r="AC194" s="291">
        <v>0</v>
      </c>
      <c r="AE194" s="176">
        <f t="shared" si="10"/>
        <v>0</v>
      </c>
      <c r="AF194" s="176">
        <f t="shared" si="10"/>
        <v>0</v>
      </c>
    </row>
    <row r="195" spans="1:32">
      <c r="A195" s="168">
        <v>3401</v>
      </c>
      <c r="B195" s="2">
        <v>140528</v>
      </c>
      <c r="C195" s="2" t="s">
        <v>394</v>
      </c>
      <c r="D195" s="30"/>
      <c r="E195" s="174">
        <v>0</v>
      </c>
      <c r="F195" s="174">
        <v>0</v>
      </c>
      <c r="G195" s="174">
        <v>0</v>
      </c>
      <c r="H195" s="174">
        <f t="shared" si="7"/>
        <v>0</v>
      </c>
      <c r="I195" s="226"/>
      <c r="J195" s="174">
        <v>0</v>
      </c>
      <c r="K195" s="174">
        <v>0</v>
      </c>
      <c r="L195" s="174">
        <v>0</v>
      </c>
      <c r="M195" s="174"/>
      <c r="N195" s="221"/>
      <c r="O195" s="198"/>
      <c r="P195" s="198">
        <v>0</v>
      </c>
      <c r="Q195" s="198">
        <v>0</v>
      </c>
      <c r="R195" s="199">
        <f t="shared" si="8"/>
        <v>0</v>
      </c>
      <c r="U195" s="199"/>
      <c r="V195" s="199">
        <v>0</v>
      </c>
      <c r="W195" s="291"/>
      <c r="X195" s="291"/>
      <c r="Y195" s="291"/>
      <c r="Z195" s="291"/>
      <c r="AA195" s="291">
        <v>0</v>
      </c>
      <c r="AB195" s="291">
        <v>0</v>
      </c>
      <c r="AC195" s="291">
        <v>0</v>
      </c>
      <c r="AE195" s="176">
        <f t="shared" si="10"/>
        <v>0</v>
      </c>
      <c r="AF195" s="176">
        <f t="shared" si="10"/>
        <v>0</v>
      </c>
    </row>
    <row r="196" spans="1:32">
      <c r="A196" s="168">
        <v>3383</v>
      </c>
      <c r="B196" s="2">
        <v>148973</v>
      </c>
      <c r="C196" s="2" t="s">
        <v>395</v>
      </c>
      <c r="D196" s="30"/>
      <c r="E196" s="174">
        <v>0</v>
      </c>
      <c r="F196" s="174">
        <v>0</v>
      </c>
      <c r="G196" s="174">
        <v>0</v>
      </c>
      <c r="H196" s="174">
        <f t="shared" si="7"/>
        <v>0</v>
      </c>
      <c r="I196" s="226"/>
      <c r="J196" s="174">
        <v>0</v>
      </c>
      <c r="K196" s="174">
        <v>0</v>
      </c>
      <c r="L196" s="174">
        <v>0</v>
      </c>
      <c r="M196" s="174"/>
      <c r="N196" s="221"/>
      <c r="O196" s="198"/>
      <c r="P196" s="198">
        <v>0</v>
      </c>
      <c r="Q196" s="198">
        <v>0</v>
      </c>
      <c r="R196" s="199">
        <f t="shared" si="8"/>
        <v>0</v>
      </c>
      <c r="U196" s="199"/>
      <c r="V196" s="199">
        <v>0</v>
      </c>
      <c r="W196" s="291"/>
      <c r="X196" s="291"/>
      <c r="Y196" s="291"/>
      <c r="Z196" s="291"/>
      <c r="AA196" s="291">
        <v>0</v>
      </c>
      <c r="AB196" s="291">
        <v>0</v>
      </c>
      <c r="AC196" s="291">
        <v>0</v>
      </c>
      <c r="AE196" s="176">
        <f t="shared" si="10"/>
        <v>0</v>
      </c>
      <c r="AF196" s="176">
        <f t="shared" si="10"/>
        <v>0</v>
      </c>
    </row>
    <row r="197" spans="1:32">
      <c r="A197" s="168">
        <v>3015</v>
      </c>
      <c r="B197" s="2">
        <v>139041</v>
      </c>
      <c r="C197" s="2" t="s">
        <v>396</v>
      </c>
      <c r="D197" s="30"/>
      <c r="E197" s="174">
        <v>0</v>
      </c>
      <c r="F197" s="174">
        <v>0</v>
      </c>
      <c r="G197" s="174">
        <v>0</v>
      </c>
      <c r="H197" s="174">
        <f t="shared" si="7"/>
        <v>0</v>
      </c>
      <c r="I197" s="226"/>
      <c r="J197" s="174">
        <v>0</v>
      </c>
      <c r="K197" s="174">
        <v>0</v>
      </c>
      <c r="L197" s="174">
        <v>0</v>
      </c>
      <c r="M197" s="174"/>
      <c r="N197" s="221"/>
      <c r="O197" s="198"/>
      <c r="P197" s="198">
        <v>0</v>
      </c>
      <c r="Q197" s="198">
        <v>0</v>
      </c>
      <c r="R197" s="199">
        <f t="shared" si="8"/>
        <v>0</v>
      </c>
      <c r="U197" s="199"/>
      <c r="V197" s="199">
        <v>0</v>
      </c>
      <c r="W197" s="291"/>
      <c r="X197" s="291"/>
      <c r="Y197" s="291"/>
      <c r="Z197" s="291"/>
      <c r="AA197" s="291">
        <v>0</v>
      </c>
      <c r="AB197" s="291">
        <v>0</v>
      </c>
      <c r="AC197" s="291">
        <v>0</v>
      </c>
      <c r="AE197" s="176">
        <f t="shared" si="10"/>
        <v>0</v>
      </c>
      <c r="AF197" s="176">
        <f t="shared" si="10"/>
        <v>0</v>
      </c>
    </row>
    <row r="198" spans="1:32">
      <c r="A198" s="168">
        <v>3311</v>
      </c>
      <c r="B198" s="2">
        <v>139174</v>
      </c>
      <c r="C198" s="2" t="s">
        <v>397</v>
      </c>
      <c r="D198" s="30"/>
      <c r="E198" s="174">
        <v>0</v>
      </c>
      <c r="F198" s="174">
        <v>0</v>
      </c>
      <c r="G198" s="174">
        <v>0</v>
      </c>
      <c r="H198" s="174">
        <f t="shared" si="7"/>
        <v>0</v>
      </c>
      <c r="I198" s="226"/>
      <c r="J198" s="174">
        <v>0</v>
      </c>
      <c r="K198" s="174">
        <v>0</v>
      </c>
      <c r="L198" s="174">
        <v>0</v>
      </c>
      <c r="M198" s="174"/>
      <c r="N198" s="221"/>
      <c r="O198" s="198"/>
      <c r="P198" s="198">
        <v>0</v>
      </c>
      <c r="Q198" s="198">
        <v>0</v>
      </c>
      <c r="R198" s="199">
        <f t="shared" si="8"/>
        <v>0</v>
      </c>
      <c r="U198" s="199"/>
      <c r="V198" s="199">
        <v>0</v>
      </c>
      <c r="W198" s="291"/>
      <c r="X198" s="291"/>
      <c r="Y198" s="291"/>
      <c r="Z198" s="291"/>
      <c r="AA198" s="291">
        <v>0</v>
      </c>
      <c r="AB198" s="291">
        <v>0</v>
      </c>
      <c r="AC198" s="291">
        <v>0</v>
      </c>
      <c r="AE198" s="176">
        <f t="shared" si="10"/>
        <v>0</v>
      </c>
      <c r="AF198" s="176">
        <f t="shared" si="10"/>
        <v>0</v>
      </c>
    </row>
    <row r="199" spans="1:32">
      <c r="A199" s="168">
        <v>2061</v>
      </c>
      <c r="B199" s="2">
        <v>138433</v>
      </c>
      <c r="C199" s="2" t="s">
        <v>398</v>
      </c>
      <c r="D199" s="30"/>
      <c r="E199" s="174">
        <v>0</v>
      </c>
      <c r="F199" s="174">
        <v>0</v>
      </c>
      <c r="G199" s="174">
        <v>0</v>
      </c>
      <c r="H199" s="174">
        <f t="shared" si="7"/>
        <v>0</v>
      </c>
      <c r="I199" s="226"/>
      <c r="J199" s="174">
        <v>0</v>
      </c>
      <c r="K199" s="174">
        <v>0</v>
      </c>
      <c r="L199" s="174">
        <v>0</v>
      </c>
      <c r="M199" s="174"/>
      <c r="N199" s="221"/>
      <c r="O199" s="198"/>
      <c r="P199" s="198">
        <v>0</v>
      </c>
      <c r="Q199" s="198">
        <v>0</v>
      </c>
      <c r="R199" s="199">
        <f t="shared" si="8"/>
        <v>0</v>
      </c>
      <c r="U199" s="199"/>
      <c r="V199" s="199">
        <v>0</v>
      </c>
      <c r="W199" s="291"/>
      <c r="X199" s="291"/>
      <c r="Y199" s="291"/>
      <c r="Z199" s="291"/>
      <c r="AA199" s="291">
        <v>0</v>
      </c>
      <c r="AB199" s="291">
        <v>0</v>
      </c>
      <c r="AC199" s="291">
        <v>0</v>
      </c>
      <c r="AE199" s="176">
        <f t="shared" si="10"/>
        <v>0</v>
      </c>
      <c r="AF199" s="176">
        <f t="shared" si="10"/>
        <v>0</v>
      </c>
    </row>
    <row r="200" spans="1:32">
      <c r="A200" s="168">
        <v>3403</v>
      </c>
      <c r="B200" s="2">
        <v>140529</v>
      </c>
      <c r="C200" s="2" t="s">
        <v>399</v>
      </c>
      <c r="D200" s="30"/>
      <c r="E200" s="174">
        <v>0</v>
      </c>
      <c r="F200" s="174">
        <v>0</v>
      </c>
      <c r="G200" s="174">
        <v>0</v>
      </c>
      <c r="H200" s="174">
        <f t="shared" si="7"/>
        <v>0</v>
      </c>
      <c r="I200" s="226"/>
      <c r="J200" s="174">
        <v>0</v>
      </c>
      <c r="K200" s="174">
        <v>0</v>
      </c>
      <c r="L200" s="174">
        <v>0</v>
      </c>
      <c r="M200" s="174"/>
      <c r="N200" s="221"/>
      <c r="O200" s="198"/>
      <c r="P200" s="198">
        <v>0</v>
      </c>
      <c r="Q200" s="198">
        <v>0</v>
      </c>
      <c r="R200" s="199">
        <f t="shared" si="8"/>
        <v>0</v>
      </c>
      <c r="U200" s="199"/>
      <c r="V200" s="199">
        <v>0</v>
      </c>
      <c r="W200" s="291"/>
      <c r="X200" s="291"/>
      <c r="Y200" s="291"/>
      <c r="Z200" s="291"/>
      <c r="AA200" s="291">
        <v>0</v>
      </c>
      <c r="AB200" s="291">
        <v>0</v>
      </c>
      <c r="AC200" s="291">
        <v>0</v>
      </c>
      <c r="AE200" s="176">
        <f t="shared" si="10"/>
        <v>0</v>
      </c>
      <c r="AF200" s="176">
        <f t="shared" si="10"/>
        <v>0</v>
      </c>
    </row>
    <row r="201" spans="1:32">
      <c r="A201" s="168">
        <v>3366</v>
      </c>
      <c r="B201" s="2">
        <v>141830</v>
      </c>
      <c r="C201" s="2" t="s">
        <v>400</v>
      </c>
      <c r="D201" s="30"/>
      <c r="E201" s="174">
        <v>0</v>
      </c>
      <c r="F201" s="174">
        <v>0</v>
      </c>
      <c r="G201" s="174">
        <v>0</v>
      </c>
      <c r="H201" s="174">
        <f t="shared" si="7"/>
        <v>0</v>
      </c>
      <c r="I201" s="226"/>
      <c r="J201" s="174">
        <v>0</v>
      </c>
      <c r="K201" s="174">
        <v>0</v>
      </c>
      <c r="L201" s="174">
        <v>0</v>
      </c>
      <c r="M201" s="174"/>
      <c r="N201" s="221"/>
      <c r="O201" s="198"/>
      <c r="P201" s="198">
        <v>0</v>
      </c>
      <c r="Q201" s="198">
        <v>0</v>
      </c>
      <c r="R201" s="199">
        <f t="shared" si="8"/>
        <v>0</v>
      </c>
      <c r="U201" s="199"/>
      <c r="V201" s="199">
        <v>0</v>
      </c>
      <c r="W201" s="291"/>
      <c r="X201" s="291"/>
      <c r="Y201" s="291"/>
      <c r="Z201" s="291"/>
      <c r="AA201" s="291">
        <v>0</v>
      </c>
      <c r="AB201" s="291">
        <v>0</v>
      </c>
      <c r="AC201" s="291">
        <v>0</v>
      </c>
      <c r="AE201" s="176">
        <f t="shared" ref="AE201:AF232" si="11">SUMIFS($E201:$H201,$E$3:$H$3,AE$7)+SUMIFS($O201:$R201,$O$3:$R$3,AE$7)+SUMIFS($J201:$M201,$J$3:$M$3,AE$7)+SUMIFS($U201:$AC201,$U$3:$AC$3,AE$7)</f>
        <v>0</v>
      </c>
      <c r="AF201" s="176">
        <f t="shared" si="11"/>
        <v>0</v>
      </c>
    </row>
    <row r="202" spans="1:32">
      <c r="A202" s="168">
        <v>3385</v>
      </c>
      <c r="B202" s="2">
        <v>150849</v>
      </c>
      <c r="C202" s="2" t="s">
        <v>152</v>
      </c>
      <c r="D202" s="30"/>
      <c r="E202" s="174">
        <v>0</v>
      </c>
      <c r="F202" s="174">
        <v>0</v>
      </c>
      <c r="G202" s="174">
        <v>0</v>
      </c>
      <c r="H202" s="174">
        <f t="shared" ref="H202:H254" si="12">E202+F202+G202</f>
        <v>0</v>
      </c>
      <c r="I202" s="226"/>
      <c r="J202" s="174">
        <v>0</v>
      </c>
      <c r="K202" s="174">
        <v>0</v>
      </c>
      <c r="L202" s="174">
        <v>0</v>
      </c>
      <c r="M202" s="174"/>
      <c r="N202" s="221"/>
      <c r="O202" s="198"/>
      <c r="P202" s="198">
        <v>0</v>
      </c>
      <c r="Q202" s="198">
        <v>0</v>
      </c>
      <c r="R202" s="199">
        <f t="shared" ref="R202:R254" si="13">O202+P202+Q202</f>
        <v>0</v>
      </c>
      <c r="U202" s="199"/>
      <c r="V202" s="199">
        <v>0</v>
      </c>
      <c r="W202" s="291"/>
      <c r="X202" s="291"/>
      <c r="Y202" s="291"/>
      <c r="Z202" s="291"/>
      <c r="AA202" s="291">
        <v>0</v>
      </c>
      <c r="AB202" s="291">
        <v>0</v>
      </c>
      <c r="AC202" s="291">
        <v>0</v>
      </c>
      <c r="AE202" s="176">
        <f t="shared" si="11"/>
        <v>0</v>
      </c>
      <c r="AF202" s="176">
        <f t="shared" si="11"/>
        <v>0</v>
      </c>
    </row>
    <row r="203" spans="1:32">
      <c r="A203" s="168">
        <v>4616</v>
      </c>
      <c r="B203" s="2">
        <v>141835</v>
      </c>
      <c r="C203" s="2" t="s">
        <v>401</v>
      </c>
      <c r="D203" s="30"/>
      <c r="E203" s="174">
        <v>0</v>
      </c>
      <c r="F203" s="174">
        <v>0</v>
      </c>
      <c r="G203" s="174">
        <v>0</v>
      </c>
      <c r="H203" s="174">
        <f t="shared" si="12"/>
        <v>0</v>
      </c>
      <c r="I203" s="226"/>
      <c r="J203" s="174">
        <v>0</v>
      </c>
      <c r="K203" s="174">
        <v>0</v>
      </c>
      <c r="L203" s="174">
        <v>0</v>
      </c>
      <c r="M203" s="174"/>
      <c r="N203" s="221"/>
      <c r="O203" s="198"/>
      <c r="P203" s="198">
        <v>0</v>
      </c>
      <c r="Q203" s="198">
        <v>0</v>
      </c>
      <c r="R203" s="199">
        <f t="shared" si="13"/>
        <v>0</v>
      </c>
      <c r="U203" s="199"/>
      <c r="V203" s="199">
        <v>0</v>
      </c>
      <c r="W203" s="291"/>
      <c r="X203" s="291"/>
      <c r="Y203" s="291"/>
      <c r="Z203" s="291"/>
      <c r="AA203" s="291">
        <v>0</v>
      </c>
      <c r="AB203" s="291">
        <v>0</v>
      </c>
      <c r="AC203" s="291">
        <v>0</v>
      </c>
      <c r="AE203" s="176">
        <f t="shared" si="11"/>
        <v>0</v>
      </c>
      <c r="AF203" s="176">
        <f t="shared" si="11"/>
        <v>0</v>
      </c>
    </row>
    <row r="204" spans="1:32">
      <c r="A204" s="168">
        <v>3314</v>
      </c>
      <c r="B204" s="2">
        <v>142375</v>
      </c>
      <c r="C204" s="2" t="s">
        <v>402</v>
      </c>
      <c r="D204" s="30"/>
      <c r="E204" s="174">
        <v>0</v>
      </c>
      <c r="F204" s="174">
        <v>0</v>
      </c>
      <c r="G204" s="174">
        <v>0</v>
      </c>
      <c r="H204" s="174">
        <f t="shared" si="12"/>
        <v>0</v>
      </c>
      <c r="I204" s="226"/>
      <c r="J204" s="174">
        <v>0</v>
      </c>
      <c r="K204" s="174">
        <v>0</v>
      </c>
      <c r="L204" s="174">
        <v>0</v>
      </c>
      <c r="M204" s="174"/>
      <c r="N204" s="221"/>
      <c r="O204" s="198"/>
      <c r="P204" s="198">
        <v>0</v>
      </c>
      <c r="Q204" s="198">
        <v>0</v>
      </c>
      <c r="R204" s="199">
        <f t="shared" si="13"/>
        <v>0</v>
      </c>
      <c r="U204" s="199"/>
      <c r="V204" s="199">
        <v>0</v>
      </c>
      <c r="W204" s="291"/>
      <c r="X204" s="291"/>
      <c r="Y204" s="291"/>
      <c r="Z204" s="291"/>
      <c r="AA204" s="291">
        <v>0</v>
      </c>
      <c r="AB204" s="291">
        <v>0</v>
      </c>
      <c r="AC204" s="291">
        <v>0</v>
      </c>
      <c r="AE204" s="176">
        <f t="shared" si="11"/>
        <v>0</v>
      </c>
      <c r="AF204" s="176">
        <f t="shared" si="11"/>
        <v>0</v>
      </c>
    </row>
    <row r="205" spans="1:32">
      <c r="A205" s="168">
        <v>2201</v>
      </c>
      <c r="B205" s="2">
        <v>147017</v>
      </c>
      <c r="C205" s="2" t="s">
        <v>403</v>
      </c>
      <c r="D205" s="30"/>
      <c r="E205" s="174">
        <v>0</v>
      </c>
      <c r="F205" s="174">
        <v>0</v>
      </c>
      <c r="G205" s="174">
        <v>0</v>
      </c>
      <c r="H205" s="174">
        <f t="shared" si="12"/>
        <v>0</v>
      </c>
      <c r="I205" s="226"/>
      <c r="J205" s="174">
        <v>0</v>
      </c>
      <c r="K205" s="174">
        <v>0</v>
      </c>
      <c r="L205" s="174">
        <v>0</v>
      </c>
      <c r="M205" s="174"/>
      <c r="N205" s="221"/>
      <c r="O205" s="198"/>
      <c r="P205" s="198">
        <v>0</v>
      </c>
      <c r="Q205" s="198">
        <v>0</v>
      </c>
      <c r="R205" s="199">
        <f t="shared" si="13"/>
        <v>0</v>
      </c>
      <c r="U205" s="199"/>
      <c r="V205" s="199">
        <v>0</v>
      </c>
      <c r="W205" s="291"/>
      <c r="X205" s="291"/>
      <c r="Y205" s="291"/>
      <c r="Z205" s="291"/>
      <c r="AA205" s="291">
        <v>0</v>
      </c>
      <c r="AB205" s="291">
        <v>0</v>
      </c>
      <c r="AC205" s="291">
        <v>0</v>
      </c>
      <c r="AE205" s="176">
        <f t="shared" si="11"/>
        <v>0</v>
      </c>
      <c r="AF205" s="176">
        <f t="shared" si="11"/>
        <v>0</v>
      </c>
    </row>
    <row r="206" spans="1:32">
      <c r="A206" s="168">
        <v>3359</v>
      </c>
      <c r="B206" s="2">
        <v>148083</v>
      </c>
      <c r="C206" s="2" t="s">
        <v>404</v>
      </c>
      <c r="D206" s="30"/>
      <c r="E206" s="174">
        <v>0</v>
      </c>
      <c r="F206" s="174">
        <v>0</v>
      </c>
      <c r="G206" s="174">
        <v>0</v>
      </c>
      <c r="H206" s="174">
        <f t="shared" si="12"/>
        <v>0</v>
      </c>
      <c r="I206" s="226"/>
      <c r="J206" s="174">
        <v>0</v>
      </c>
      <c r="K206" s="174">
        <v>0</v>
      </c>
      <c r="L206" s="174">
        <v>0</v>
      </c>
      <c r="M206" s="174"/>
      <c r="N206" s="221"/>
      <c r="O206" s="198"/>
      <c r="P206" s="198">
        <v>0</v>
      </c>
      <c r="Q206" s="198">
        <v>0</v>
      </c>
      <c r="R206" s="199">
        <f t="shared" si="13"/>
        <v>0</v>
      </c>
      <c r="U206" s="199"/>
      <c r="V206" s="199">
        <v>0</v>
      </c>
      <c r="W206" s="291"/>
      <c r="X206" s="291"/>
      <c r="Y206" s="291"/>
      <c r="Z206" s="291"/>
      <c r="AA206" s="291">
        <v>0</v>
      </c>
      <c r="AB206" s="291">
        <v>0</v>
      </c>
      <c r="AC206" s="291">
        <v>0</v>
      </c>
      <c r="AE206" s="176">
        <f t="shared" si="11"/>
        <v>0</v>
      </c>
      <c r="AF206" s="176">
        <f t="shared" si="11"/>
        <v>0</v>
      </c>
    </row>
    <row r="207" spans="1:32">
      <c r="A207" s="168">
        <v>4045</v>
      </c>
      <c r="B207" s="2">
        <v>149155</v>
      </c>
      <c r="C207" s="2" t="s">
        <v>405</v>
      </c>
      <c r="D207" s="30"/>
      <c r="E207" s="174">
        <v>0</v>
      </c>
      <c r="F207" s="174">
        <v>0</v>
      </c>
      <c r="G207" s="174">
        <v>0</v>
      </c>
      <c r="H207" s="174">
        <f t="shared" si="12"/>
        <v>0</v>
      </c>
      <c r="I207" s="226"/>
      <c r="J207" s="174">
        <v>0</v>
      </c>
      <c r="K207" s="174">
        <v>0</v>
      </c>
      <c r="L207" s="174">
        <v>0</v>
      </c>
      <c r="M207" s="174"/>
      <c r="N207" s="221"/>
      <c r="O207" s="198"/>
      <c r="P207" s="198">
        <v>0</v>
      </c>
      <c r="Q207" s="198">
        <v>0</v>
      </c>
      <c r="R207" s="199">
        <f t="shared" si="13"/>
        <v>0</v>
      </c>
      <c r="U207" s="199"/>
      <c r="V207" s="199">
        <v>0</v>
      </c>
      <c r="W207" s="291"/>
      <c r="X207" s="291"/>
      <c r="Y207" s="291"/>
      <c r="Z207" s="291"/>
      <c r="AA207" s="291">
        <v>0</v>
      </c>
      <c r="AB207" s="291">
        <v>0</v>
      </c>
      <c r="AC207" s="291">
        <v>0</v>
      </c>
      <c r="AE207" s="176">
        <f t="shared" si="11"/>
        <v>0</v>
      </c>
      <c r="AF207" s="176">
        <f t="shared" si="11"/>
        <v>0</v>
      </c>
    </row>
    <row r="208" spans="1:32">
      <c r="A208" s="168">
        <v>4038</v>
      </c>
      <c r="B208" s="2">
        <v>147757</v>
      </c>
      <c r="C208" s="2" t="s">
        <v>406</v>
      </c>
      <c r="D208" s="30"/>
      <c r="E208" s="174">
        <v>0</v>
      </c>
      <c r="F208" s="174">
        <v>0</v>
      </c>
      <c r="G208" s="174">
        <v>0</v>
      </c>
      <c r="H208" s="174">
        <f t="shared" si="12"/>
        <v>0</v>
      </c>
      <c r="I208" s="226"/>
      <c r="J208" s="174">
        <v>0</v>
      </c>
      <c r="K208" s="174">
        <v>0</v>
      </c>
      <c r="L208" s="174">
        <v>0</v>
      </c>
      <c r="M208" s="174"/>
      <c r="N208" s="221"/>
      <c r="O208" s="198"/>
      <c r="P208" s="198">
        <v>0</v>
      </c>
      <c r="Q208" s="198">
        <v>0</v>
      </c>
      <c r="R208" s="199">
        <f t="shared" si="13"/>
        <v>0</v>
      </c>
      <c r="U208" s="199"/>
      <c r="V208" s="199">
        <v>0</v>
      </c>
      <c r="W208" s="291"/>
      <c r="X208" s="291"/>
      <c r="Y208" s="291"/>
      <c r="Z208" s="291"/>
      <c r="AA208" s="291">
        <v>0</v>
      </c>
      <c r="AB208" s="291">
        <v>0</v>
      </c>
      <c r="AC208" s="291">
        <v>0</v>
      </c>
      <c r="AE208" s="176">
        <f t="shared" si="11"/>
        <v>0</v>
      </c>
      <c r="AF208" s="176">
        <f t="shared" si="11"/>
        <v>0</v>
      </c>
    </row>
    <row r="209" spans="1:32">
      <c r="A209" s="168">
        <v>2188</v>
      </c>
      <c r="B209" s="2">
        <v>143433</v>
      </c>
      <c r="C209" s="2" t="s">
        <v>407</v>
      </c>
      <c r="D209" s="30"/>
      <c r="E209" s="174">
        <v>0</v>
      </c>
      <c r="F209" s="174">
        <v>0</v>
      </c>
      <c r="G209" s="174">
        <v>0</v>
      </c>
      <c r="H209" s="174">
        <f t="shared" si="12"/>
        <v>0</v>
      </c>
      <c r="I209" s="244"/>
      <c r="J209" s="174">
        <v>0</v>
      </c>
      <c r="K209" s="174">
        <v>0</v>
      </c>
      <c r="L209" s="174">
        <v>0</v>
      </c>
      <c r="M209" s="174"/>
      <c r="N209" s="221"/>
      <c r="O209" s="199"/>
      <c r="P209" s="198">
        <v>0</v>
      </c>
      <c r="Q209" s="198">
        <v>0</v>
      </c>
      <c r="R209" s="199">
        <f t="shared" si="13"/>
        <v>0</v>
      </c>
      <c r="U209" s="199"/>
      <c r="V209" s="199">
        <v>0</v>
      </c>
      <c r="W209" s="291"/>
      <c r="X209" s="291"/>
      <c r="Y209" s="291"/>
      <c r="Z209" s="291"/>
      <c r="AA209" s="291">
        <v>0</v>
      </c>
      <c r="AB209" s="291">
        <v>0</v>
      </c>
      <c r="AC209" s="291">
        <v>0</v>
      </c>
      <c r="AE209" s="176">
        <f t="shared" si="11"/>
        <v>0</v>
      </c>
      <c r="AF209" s="176">
        <f t="shared" si="11"/>
        <v>0</v>
      </c>
    </row>
    <row r="210" spans="1:32">
      <c r="A210" s="168">
        <v>4206</v>
      </c>
      <c r="B210" s="2">
        <v>138137</v>
      </c>
      <c r="C210" s="2" t="s">
        <v>408</v>
      </c>
      <c r="E210" s="174">
        <v>0</v>
      </c>
      <c r="F210" s="174">
        <v>0</v>
      </c>
      <c r="G210" s="174">
        <v>0</v>
      </c>
      <c r="H210" s="174">
        <f t="shared" si="12"/>
        <v>0</v>
      </c>
      <c r="J210" s="174">
        <v>0</v>
      </c>
      <c r="K210" s="174">
        <v>0</v>
      </c>
      <c r="L210" s="174">
        <v>0</v>
      </c>
      <c r="M210" s="174"/>
      <c r="O210" s="199"/>
      <c r="P210" s="198">
        <v>131912.79999999999</v>
      </c>
      <c r="Q210" s="198">
        <v>-23333.333333333332</v>
      </c>
      <c r="R210" s="199">
        <f t="shared" si="13"/>
        <v>108579.46666666666</v>
      </c>
      <c r="U210" s="199"/>
      <c r="V210" s="199">
        <v>0</v>
      </c>
      <c r="W210" s="291"/>
      <c r="X210" s="291"/>
      <c r="Y210" s="291"/>
      <c r="Z210" s="291"/>
      <c r="AA210" s="291">
        <v>0</v>
      </c>
      <c r="AB210" s="291">
        <v>0</v>
      </c>
      <c r="AC210" s="291">
        <v>40089.992692307656</v>
      </c>
      <c r="AE210" s="176">
        <f t="shared" si="11"/>
        <v>-23333.333333333332</v>
      </c>
      <c r="AF210" s="176">
        <f t="shared" si="11"/>
        <v>172002.79269230764</v>
      </c>
    </row>
    <row r="211" spans="1:32">
      <c r="A211" s="168">
        <v>2097</v>
      </c>
      <c r="B211" s="2">
        <v>150876</v>
      </c>
      <c r="C211" s="2" t="s">
        <v>153</v>
      </c>
      <c r="E211" s="174">
        <v>0</v>
      </c>
      <c r="F211" s="174">
        <v>0</v>
      </c>
      <c r="G211" s="174">
        <v>0</v>
      </c>
      <c r="H211" s="174">
        <f t="shared" si="12"/>
        <v>0</v>
      </c>
      <c r="J211" s="174">
        <v>0</v>
      </c>
      <c r="K211" s="174">
        <v>0</v>
      </c>
      <c r="L211" s="174">
        <v>0</v>
      </c>
      <c r="M211" s="174"/>
      <c r="O211" s="199"/>
      <c r="P211" s="198">
        <v>0</v>
      </c>
      <c r="Q211" s="198">
        <v>0</v>
      </c>
      <c r="R211" s="199">
        <f t="shared" si="13"/>
        <v>0</v>
      </c>
      <c r="U211" s="199"/>
      <c r="V211" s="199">
        <v>0</v>
      </c>
      <c r="W211" s="291"/>
      <c r="X211" s="291"/>
      <c r="Y211" s="291"/>
      <c r="Z211" s="291"/>
      <c r="AA211" s="291">
        <v>0</v>
      </c>
      <c r="AB211" s="291">
        <v>0</v>
      </c>
      <c r="AC211" s="291">
        <v>0</v>
      </c>
      <c r="AE211" s="176">
        <f t="shared" si="11"/>
        <v>0</v>
      </c>
      <c r="AF211" s="176">
        <f t="shared" si="11"/>
        <v>0</v>
      </c>
    </row>
    <row r="212" spans="1:32">
      <c r="A212" s="168">
        <v>2214</v>
      </c>
      <c r="B212" s="2">
        <v>150708</v>
      </c>
      <c r="C212" s="2" t="s">
        <v>409</v>
      </c>
      <c r="E212" s="174">
        <v>0</v>
      </c>
      <c r="F212" s="174">
        <v>0</v>
      </c>
      <c r="G212" s="174">
        <v>0</v>
      </c>
      <c r="H212" s="174">
        <f t="shared" si="12"/>
        <v>0</v>
      </c>
      <c r="J212" s="174">
        <v>0</v>
      </c>
      <c r="K212" s="174">
        <v>0</v>
      </c>
      <c r="L212" s="174">
        <v>0</v>
      </c>
      <c r="M212" s="174"/>
      <c r="O212" s="199"/>
      <c r="P212" s="198">
        <v>0</v>
      </c>
      <c r="Q212" s="198">
        <v>0</v>
      </c>
      <c r="R212" s="199">
        <f t="shared" si="13"/>
        <v>0</v>
      </c>
      <c r="U212" s="199"/>
      <c r="V212" s="199">
        <v>0</v>
      </c>
      <c r="W212" s="291"/>
      <c r="X212" s="291"/>
      <c r="Y212" s="291"/>
      <c r="Z212" s="291"/>
      <c r="AA212" s="291">
        <v>0</v>
      </c>
      <c r="AB212" s="291">
        <v>0</v>
      </c>
      <c r="AC212" s="291">
        <v>0</v>
      </c>
      <c r="AE212" s="176">
        <f t="shared" si="11"/>
        <v>0</v>
      </c>
      <c r="AF212" s="176">
        <f t="shared" si="11"/>
        <v>0</v>
      </c>
    </row>
    <row r="213" spans="1:32">
      <c r="A213" s="168">
        <v>4300</v>
      </c>
      <c r="B213" s="2">
        <v>136778</v>
      </c>
      <c r="C213" s="2" t="s">
        <v>410</v>
      </c>
      <c r="E213" s="174">
        <v>0</v>
      </c>
      <c r="F213" s="174">
        <v>0</v>
      </c>
      <c r="G213" s="174">
        <v>0</v>
      </c>
      <c r="H213" s="174">
        <f t="shared" si="12"/>
        <v>0</v>
      </c>
      <c r="J213" s="174">
        <v>0</v>
      </c>
      <c r="K213" s="174">
        <v>0</v>
      </c>
      <c r="L213" s="174">
        <v>0</v>
      </c>
      <c r="M213" s="174"/>
      <c r="O213" s="199"/>
      <c r="P213" s="198">
        <v>0</v>
      </c>
      <c r="Q213" s="198">
        <v>0</v>
      </c>
      <c r="R213" s="199">
        <f t="shared" si="13"/>
        <v>0</v>
      </c>
      <c r="U213" s="199"/>
      <c r="V213" s="199">
        <v>0</v>
      </c>
      <c r="W213" s="291"/>
      <c r="X213" s="291"/>
      <c r="Y213" s="291"/>
      <c r="Z213" s="291"/>
      <c r="AA213" s="291">
        <v>0</v>
      </c>
      <c r="AB213" s="291">
        <v>0</v>
      </c>
      <c r="AC213" s="291">
        <v>0</v>
      </c>
      <c r="AE213" s="176">
        <f t="shared" si="11"/>
        <v>0</v>
      </c>
      <c r="AF213" s="176">
        <f t="shared" si="11"/>
        <v>0</v>
      </c>
    </row>
    <row r="214" spans="1:32">
      <c r="A214" s="168">
        <v>2204</v>
      </c>
      <c r="B214" s="2">
        <v>147111</v>
      </c>
      <c r="C214" s="2" t="s">
        <v>411</v>
      </c>
      <c r="E214" s="174">
        <v>0</v>
      </c>
      <c r="F214" s="174">
        <v>0</v>
      </c>
      <c r="G214" s="174">
        <v>0</v>
      </c>
      <c r="H214" s="174">
        <f t="shared" si="12"/>
        <v>0</v>
      </c>
      <c r="J214" s="174">
        <v>0</v>
      </c>
      <c r="K214" s="174">
        <v>0</v>
      </c>
      <c r="L214" s="174">
        <v>0</v>
      </c>
      <c r="M214" s="174"/>
      <c r="O214" s="199"/>
      <c r="P214" s="198">
        <v>155761.69999999998</v>
      </c>
      <c r="Q214" s="198">
        <v>0</v>
      </c>
      <c r="R214" s="199">
        <f t="shared" si="13"/>
        <v>155761.69999999998</v>
      </c>
      <c r="U214" s="199"/>
      <c r="V214" s="199">
        <v>0</v>
      </c>
      <c r="W214" s="291"/>
      <c r="X214" s="291"/>
      <c r="Y214" s="291"/>
      <c r="Z214" s="291"/>
      <c r="AA214" s="291">
        <v>0</v>
      </c>
      <c r="AB214" s="291">
        <v>0</v>
      </c>
      <c r="AC214" s="291">
        <v>110137.42499999996</v>
      </c>
      <c r="AE214" s="176">
        <f t="shared" si="11"/>
        <v>0</v>
      </c>
      <c r="AF214" s="176">
        <f t="shared" si="11"/>
        <v>265899.12499999994</v>
      </c>
    </row>
    <row r="215" spans="1:32">
      <c r="A215" s="168">
        <v>4237</v>
      </c>
      <c r="B215" s="2">
        <v>151403</v>
      </c>
      <c r="C215" s="2" t="s">
        <v>148</v>
      </c>
      <c r="E215" s="174">
        <v>0</v>
      </c>
      <c r="F215" s="174">
        <v>0</v>
      </c>
      <c r="G215" s="174">
        <v>0</v>
      </c>
      <c r="H215" s="174">
        <f t="shared" si="12"/>
        <v>0</v>
      </c>
      <c r="J215" s="174">
        <v>0</v>
      </c>
      <c r="K215" s="174">
        <v>0</v>
      </c>
      <c r="L215" s="174">
        <v>0</v>
      </c>
      <c r="M215" s="174"/>
      <c r="O215" s="199"/>
      <c r="P215" s="198">
        <v>0</v>
      </c>
      <c r="Q215" s="198">
        <v>0</v>
      </c>
      <c r="R215" s="199">
        <f t="shared" si="13"/>
        <v>0</v>
      </c>
      <c r="U215" s="199"/>
      <c r="V215" s="199">
        <v>0</v>
      </c>
      <c r="W215" s="291"/>
      <c r="X215" s="291"/>
      <c r="Y215" s="291"/>
      <c r="Z215" s="291"/>
      <c r="AA215" s="291">
        <v>0</v>
      </c>
      <c r="AB215" s="291">
        <v>0</v>
      </c>
      <c r="AC215" s="291">
        <v>0</v>
      </c>
      <c r="AE215" s="176">
        <f t="shared" si="11"/>
        <v>0</v>
      </c>
      <c r="AF215" s="176">
        <f t="shared" si="11"/>
        <v>0</v>
      </c>
    </row>
    <row r="216" spans="1:32">
      <c r="A216" s="168">
        <v>2098</v>
      </c>
      <c r="B216" s="2">
        <v>139011</v>
      </c>
      <c r="C216" s="2" t="s">
        <v>412</v>
      </c>
      <c r="E216" s="174">
        <v>0</v>
      </c>
      <c r="F216" s="174">
        <v>0</v>
      </c>
      <c r="G216" s="174">
        <v>0</v>
      </c>
      <c r="H216" s="174">
        <f t="shared" si="12"/>
        <v>0</v>
      </c>
      <c r="J216" s="174">
        <v>0</v>
      </c>
      <c r="K216" s="174">
        <v>0</v>
      </c>
      <c r="L216" s="174">
        <v>0</v>
      </c>
      <c r="M216" s="174"/>
      <c r="O216" s="199"/>
      <c r="P216" s="198">
        <v>0</v>
      </c>
      <c r="Q216" s="198">
        <v>0</v>
      </c>
      <c r="R216" s="199">
        <f t="shared" si="13"/>
        <v>0</v>
      </c>
      <c r="U216" s="199"/>
      <c r="V216" s="199">
        <v>0</v>
      </c>
      <c r="W216" s="291"/>
      <c r="X216" s="291"/>
      <c r="Y216" s="291"/>
      <c r="Z216" s="291"/>
      <c r="AA216" s="291">
        <v>0</v>
      </c>
      <c r="AB216" s="291">
        <v>0</v>
      </c>
      <c r="AC216" s="291">
        <v>0</v>
      </c>
      <c r="AE216" s="176">
        <f t="shared" si="11"/>
        <v>0</v>
      </c>
      <c r="AF216" s="176">
        <f t="shared" si="11"/>
        <v>0</v>
      </c>
    </row>
    <row r="217" spans="1:32">
      <c r="A217" s="168">
        <v>4307</v>
      </c>
      <c r="B217" s="2">
        <v>138136</v>
      </c>
      <c r="C217" s="2" t="s">
        <v>413</v>
      </c>
      <c r="E217" s="174">
        <v>0</v>
      </c>
      <c r="F217" s="174">
        <v>0</v>
      </c>
      <c r="G217" s="174">
        <v>0</v>
      </c>
      <c r="H217" s="174">
        <f t="shared" si="12"/>
        <v>0</v>
      </c>
      <c r="J217" s="174">
        <v>0</v>
      </c>
      <c r="K217" s="174">
        <v>0</v>
      </c>
      <c r="L217" s="174">
        <v>0</v>
      </c>
      <c r="M217" s="174"/>
      <c r="O217" s="199"/>
      <c r="P217" s="198">
        <v>0</v>
      </c>
      <c r="Q217" s="198">
        <v>0</v>
      </c>
      <c r="R217" s="199">
        <f t="shared" si="13"/>
        <v>0</v>
      </c>
      <c r="U217" s="199"/>
      <c r="V217" s="199">
        <v>0</v>
      </c>
      <c r="W217" s="291"/>
      <c r="X217" s="291"/>
      <c r="Y217" s="291"/>
      <c r="Z217" s="291"/>
      <c r="AA217" s="291">
        <v>0</v>
      </c>
      <c r="AB217" s="291">
        <v>0</v>
      </c>
      <c r="AC217" s="291">
        <v>0</v>
      </c>
      <c r="AE217" s="176">
        <f t="shared" si="11"/>
        <v>0</v>
      </c>
      <c r="AF217" s="176">
        <f t="shared" si="11"/>
        <v>0</v>
      </c>
    </row>
    <row r="218" spans="1:32">
      <c r="A218" s="168">
        <v>7049</v>
      </c>
      <c r="B218" s="2">
        <v>144043</v>
      </c>
      <c r="C218" s="2" t="s">
        <v>414</v>
      </c>
      <c r="E218" s="174">
        <v>94950</v>
      </c>
      <c r="F218" s="174">
        <v>894017.26498624985</v>
      </c>
      <c r="G218" s="174">
        <v>59400</v>
      </c>
      <c r="H218" s="174">
        <f t="shared" si="12"/>
        <v>1048367.2649862499</v>
      </c>
      <c r="J218" s="174">
        <v>278076.92307692324</v>
      </c>
      <c r="K218" s="174">
        <v>66839</v>
      </c>
      <c r="L218" s="174">
        <v>0</v>
      </c>
      <c r="M218" s="174"/>
      <c r="O218" s="199"/>
      <c r="P218" s="198">
        <v>0</v>
      </c>
      <c r="Q218" s="198">
        <v>0</v>
      </c>
      <c r="R218" s="199">
        <f t="shared" si="13"/>
        <v>0</v>
      </c>
      <c r="U218" s="199"/>
      <c r="V218" s="199">
        <v>0</v>
      </c>
      <c r="W218" s="291"/>
      <c r="X218" s="291"/>
      <c r="Y218" s="291"/>
      <c r="Z218" s="291"/>
      <c r="AA218" s="291">
        <v>0</v>
      </c>
      <c r="AB218" s="291">
        <v>0</v>
      </c>
      <c r="AC218" s="291">
        <v>0</v>
      </c>
      <c r="AE218" s="176">
        <f t="shared" si="11"/>
        <v>94950</v>
      </c>
      <c r="AF218" s="176">
        <f t="shared" si="11"/>
        <v>1298333.1880631731</v>
      </c>
    </row>
    <row r="219" spans="1:32">
      <c r="A219" s="168">
        <v>5201</v>
      </c>
      <c r="B219" s="2">
        <v>137155</v>
      </c>
      <c r="C219" s="2" t="s">
        <v>415</v>
      </c>
      <c r="E219" s="174">
        <v>0</v>
      </c>
      <c r="F219" s="174">
        <v>0</v>
      </c>
      <c r="G219" s="174">
        <v>0</v>
      </c>
      <c r="H219" s="174">
        <f t="shared" si="12"/>
        <v>0</v>
      </c>
      <c r="J219" s="174">
        <v>0</v>
      </c>
      <c r="K219" s="174">
        <v>0</v>
      </c>
      <c r="L219" s="174">
        <v>0</v>
      </c>
      <c r="M219" s="174"/>
      <c r="O219" s="199"/>
      <c r="P219" s="198">
        <v>0</v>
      </c>
      <c r="Q219" s="198">
        <v>0</v>
      </c>
      <c r="R219" s="199">
        <f t="shared" si="13"/>
        <v>0</v>
      </c>
      <c r="U219" s="199"/>
      <c r="V219" s="199">
        <v>0</v>
      </c>
      <c r="W219" s="291"/>
      <c r="X219" s="291"/>
      <c r="Y219" s="291"/>
      <c r="Z219" s="291"/>
      <c r="AA219" s="291">
        <v>0</v>
      </c>
      <c r="AB219" s="291">
        <v>0</v>
      </c>
      <c r="AC219" s="291">
        <v>0</v>
      </c>
      <c r="AE219" s="176">
        <f t="shared" si="11"/>
        <v>0</v>
      </c>
      <c r="AF219" s="176">
        <f t="shared" si="11"/>
        <v>0</v>
      </c>
    </row>
    <row r="220" spans="1:32">
      <c r="A220" s="168">
        <v>1111</v>
      </c>
      <c r="B220" s="2">
        <v>142071</v>
      </c>
      <c r="C220" s="2" t="s">
        <v>416</v>
      </c>
      <c r="E220" s="174">
        <v>0</v>
      </c>
      <c r="F220" s="174">
        <v>0</v>
      </c>
      <c r="G220" s="174">
        <v>0</v>
      </c>
      <c r="H220" s="174">
        <f t="shared" si="12"/>
        <v>0</v>
      </c>
      <c r="J220" s="174">
        <v>0</v>
      </c>
      <c r="K220" s="174">
        <v>0</v>
      </c>
      <c r="L220" s="174">
        <v>0</v>
      </c>
      <c r="M220" s="174"/>
      <c r="O220" s="199"/>
      <c r="P220" s="198">
        <v>0</v>
      </c>
      <c r="Q220" s="198">
        <v>0</v>
      </c>
      <c r="R220" s="199">
        <f t="shared" si="13"/>
        <v>0</v>
      </c>
      <c r="U220" s="199"/>
      <c r="V220" s="199">
        <v>0</v>
      </c>
      <c r="W220" s="291"/>
      <c r="X220" s="291"/>
      <c r="Y220" s="291"/>
      <c r="Z220" s="291"/>
      <c r="AA220" s="291">
        <v>0</v>
      </c>
      <c r="AB220" s="291">
        <v>0</v>
      </c>
      <c r="AC220" s="291">
        <v>0</v>
      </c>
      <c r="AE220" s="176">
        <f t="shared" si="11"/>
        <v>0</v>
      </c>
      <c r="AF220" s="176">
        <f t="shared" si="11"/>
        <v>0</v>
      </c>
    </row>
    <row r="221" spans="1:32">
      <c r="A221" s="168">
        <v>2246</v>
      </c>
      <c r="B221" s="2">
        <v>151709</v>
      </c>
      <c r="C221" s="2" t="s">
        <v>22</v>
      </c>
      <c r="E221" s="174">
        <v>0</v>
      </c>
      <c r="F221" s="174">
        <v>0</v>
      </c>
      <c r="G221" s="174">
        <v>0</v>
      </c>
      <c r="H221" s="174">
        <f t="shared" si="12"/>
        <v>0</v>
      </c>
      <c r="J221" s="174">
        <v>0</v>
      </c>
      <c r="K221" s="174">
        <v>0</v>
      </c>
      <c r="L221" s="174">
        <v>0</v>
      </c>
      <c r="M221" s="174"/>
      <c r="O221" s="199"/>
      <c r="P221" s="198">
        <v>0</v>
      </c>
      <c r="Q221" s="198">
        <v>0</v>
      </c>
      <c r="R221" s="199">
        <f t="shared" si="13"/>
        <v>0</v>
      </c>
      <c r="U221" s="199"/>
      <c r="V221" s="199">
        <v>0</v>
      </c>
      <c r="W221" s="291"/>
      <c r="X221" s="291"/>
      <c r="Y221" s="291"/>
      <c r="Z221" s="291"/>
      <c r="AA221" s="291">
        <v>0</v>
      </c>
      <c r="AB221" s="291">
        <v>0</v>
      </c>
      <c r="AC221" s="291">
        <v>0</v>
      </c>
      <c r="AE221" s="176">
        <f t="shared" si="11"/>
        <v>0</v>
      </c>
      <c r="AF221" s="176">
        <f t="shared" si="11"/>
        <v>0</v>
      </c>
    </row>
    <row r="222" spans="1:32">
      <c r="A222" s="168">
        <v>2064</v>
      </c>
      <c r="B222" s="2">
        <v>139183</v>
      </c>
      <c r="C222" s="2" t="s">
        <v>417</v>
      </c>
      <c r="E222" s="174">
        <v>0</v>
      </c>
      <c r="F222" s="174">
        <v>0</v>
      </c>
      <c r="G222" s="174">
        <v>0</v>
      </c>
      <c r="H222" s="174">
        <f t="shared" si="12"/>
        <v>0</v>
      </c>
      <c r="J222" s="174">
        <v>0</v>
      </c>
      <c r="K222" s="174">
        <v>0</v>
      </c>
      <c r="L222" s="174">
        <v>0</v>
      </c>
      <c r="M222" s="174"/>
      <c r="O222" s="199"/>
      <c r="P222" s="198">
        <v>0</v>
      </c>
      <c r="Q222" s="198">
        <v>0</v>
      </c>
      <c r="R222" s="199">
        <f t="shared" si="13"/>
        <v>0</v>
      </c>
      <c r="U222" s="199"/>
      <c r="V222" s="199">
        <v>0</v>
      </c>
      <c r="W222" s="291"/>
      <c r="X222" s="291"/>
      <c r="Y222" s="291"/>
      <c r="Z222" s="291"/>
      <c r="AA222" s="291">
        <v>0</v>
      </c>
      <c r="AB222" s="291">
        <v>0</v>
      </c>
      <c r="AC222" s="291">
        <v>0</v>
      </c>
      <c r="AE222" s="176">
        <f t="shared" si="11"/>
        <v>0</v>
      </c>
      <c r="AF222" s="176">
        <f t="shared" si="11"/>
        <v>0</v>
      </c>
    </row>
    <row r="223" spans="1:32">
      <c r="A223" s="168">
        <v>2018</v>
      </c>
      <c r="B223" s="2">
        <v>149872</v>
      </c>
      <c r="C223" s="2" t="s">
        <v>418</v>
      </c>
      <c r="E223" s="174">
        <v>0</v>
      </c>
      <c r="F223" s="174">
        <v>0</v>
      </c>
      <c r="G223" s="174">
        <v>0</v>
      </c>
      <c r="H223" s="174">
        <f t="shared" si="12"/>
        <v>0</v>
      </c>
      <c r="J223" s="174">
        <v>0</v>
      </c>
      <c r="K223" s="174">
        <v>0</v>
      </c>
      <c r="L223" s="174">
        <v>0</v>
      </c>
      <c r="M223" s="174"/>
      <c r="O223" s="199"/>
      <c r="P223" s="198">
        <v>0</v>
      </c>
      <c r="Q223" s="198">
        <v>0</v>
      </c>
      <c r="R223" s="199">
        <f t="shared" si="13"/>
        <v>0</v>
      </c>
      <c r="U223" s="199"/>
      <c r="V223" s="199">
        <v>0</v>
      </c>
      <c r="W223" s="291"/>
      <c r="X223" s="291"/>
      <c r="Y223" s="291"/>
      <c r="Z223" s="291"/>
      <c r="AA223" s="291">
        <v>0</v>
      </c>
      <c r="AB223" s="291">
        <v>0</v>
      </c>
      <c r="AC223" s="291">
        <v>0</v>
      </c>
      <c r="AE223" s="176">
        <f t="shared" si="11"/>
        <v>0</v>
      </c>
      <c r="AF223" s="176">
        <f t="shared" si="11"/>
        <v>0</v>
      </c>
    </row>
    <row r="224" spans="1:32">
      <c r="A224" s="168">
        <v>2167</v>
      </c>
      <c r="B224" s="2">
        <v>142888</v>
      </c>
      <c r="C224" s="2" t="s">
        <v>419</v>
      </c>
      <c r="E224" s="174">
        <v>0</v>
      </c>
      <c r="F224" s="174">
        <v>0</v>
      </c>
      <c r="G224" s="174">
        <v>0</v>
      </c>
      <c r="H224" s="174">
        <f t="shared" si="12"/>
        <v>0</v>
      </c>
      <c r="J224" s="174">
        <v>0</v>
      </c>
      <c r="K224" s="174">
        <v>0</v>
      </c>
      <c r="L224" s="174">
        <v>0</v>
      </c>
      <c r="M224" s="174"/>
      <c r="O224" s="199"/>
      <c r="P224" s="198">
        <v>0</v>
      </c>
      <c r="Q224" s="198">
        <v>0</v>
      </c>
      <c r="R224" s="199">
        <f t="shared" si="13"/>
        <v>0</v>
      </c>
      <c r="U224" s="199"/>
      <c r="V224" s="199">
        <v>0</v>
      </c>
      <c r="W224" s="291"/>
      <c r="X224" s="291"/>
      <c r="Y224" s="291"/>
      <c r="Z224" s="291"/>
      <c r="AA224" s="291">
        <v>0</v>
      </c>
      <c r="AB224" s="291">
        <v>0</v>
      </c>
      <c r="AC224" s="291">
        <v>0</v>
      </c>
      <c r="AE224" s="176">
        <f t="shared" si="11"/>
        <v>0</v>
      </c>
      <c r="AF224" s="176">
        <f t="shared" si="11"/>
        <v>0</v>
      </c>
    </row>
    <row r="225" spans="1:32">
      <c r="A225" s="168">
        <v>2205</v>
      </c>
      <c r="B225" s="2">
        <v>147452</v>
      </c>
      <c r="C225" s="2" t="s">
        <v>420</v>
      </c>
      <c r="E225" s="174">
        <v>0</v>
      </c>
      <c r="F225" s="174">
        <v>0</v>
      </c>
      <c r="G225" s="174">
        <v>0</v>
      </c>
      <c r="H225" s="174">
        <f t="shared" si="12"/>
        <v>0</v>
      </c>
      <c r="J225" s="174">
        <v>0</v>
      </c>
      <c r="K225" s="174">
        <v>0</v>
      </c>
      <c r="L225" s="174">
        <v>0</v>
      </c>
      <c r="M225" s="174"/>
      <c r="O225" s="199"/>
      <c r="P225" s="198">
        <v>0</v>
      </c>
      <c r="Q225" s="198">
        <v>0</v>
      </c>
      <c r="R225" s="199">
        <f t="shared" si="13"/>
        <v>0</v>
      </c>
      <c r="U225" s="199"/>
      <c r="V225" s="199">
        <v>0</v>
      </c>
      <c r="W225" s="291"/>
      <c r="X225" s="291"/>
      <c r="Y225" s="291"/>
      <c r="Z225" s="291"/>
      <c r="AA225" s="291">
        <v>0</v>
      </c>
      <c r="AB225" s="291">
        <v>0</v>
      </c>
      <c r="AC225" s="291">
        <v>0</v>
      </c>
      <c r="AE225" s="176">
        <f t="shared" si="11"/>
        <v>0</v>
      </c>
      <c r="AF225" s="176">
        <f t="shared" si="11"/>
        <v>0</v>
      </c>
    </row>
    <row r="226" spans="1:32">
      <c r="A226" s="168">
        <v>2249</v>
      </c>
      <c r="B226" s="2">
        <v>139860</v>
      </c>
      <c r="C226" s="2" t="s">
        <v>421</v>
      </c>
      <c r="E226" s="174">
        <v>0</v>
      </c>
      <c r="F226" s="174">
        <v>0</v>
      </c>
      <c r="G226" s="174">
        <v>0</v>
      </c>
      <c r="H226" s="174">
        <f t="shared" si="12"/>
        <v>0</v>
      </c>
      <c r="J226" s="174">
        <v>0</v>
      </c>
      <c r="K226" s="174">
        <v>0</v>
      </c>
      <c r="L226" s="174">
        <v>0</v>
      </c>
      <c r="M226" s="174"/>
      <c r="O226" s="199"/>
      <c r="P226" s="198">
        <v>0</v>
      </c>
      <c r="Q226" s="198">
        <v>0</v>
      </c>
      <c r="R226" s="199">
        <f t="shared" si="13"/>
        <v>0</v>
      </c>
      <c r="U226" s="199"/>
      <c r="V226" s="199">
        <v>0</v>
      </c>
      <c r="W226" s="291"/>
      <c r="X226" s="291"/>
      <c r="Y226" s="291"/>
      <c r="Z226" s="291"/>
      <c r="AA226" s="291">
        <v>0</v>
      </c>
      <c r="AB226" s="291">
        <v>0</v>
      </c>
      <c r="AC226" s="291">
        <v>0</v>
      </c>
      <c r="AE226" s="176">
        <f t="shared" si="11"/>
        <v>0</v>
      </c>
      <c r="AF226" s="176">
        <f t="shared" si="11"/>
        <v>0</v>
      </c>
    </row>
    <row r="227" spans="1:32">
      <c r="A227" s="168">
        <v>2447</v>
      </c>
      <c r="B227" s="2">
        <v>143087</v>
      </c>
      <c r="C227" s="2" t="s">
        <v>422</v>
      </c>
      <c r="E227" s="174">
        <v>0</v>
      </c>
      <c r="F227" s="174">
        <v>0</v>
      </c>
      <c r="G227" s="174">
        <v>0</v>
      </c>
      <c r="H227" s="174">
        <f t="shared" si="12"/>
        <v>0</v>
      </c>
      <c r="J227" s="174">
        <v>0</v>
      </c>
      <c r="K227" s="174">
        <v>0</v>
      </c>
      <c r="L227" s="174">
        <v>0</v>
      </c>
      <c r="M227" s="174"/>
      <c r="O227" s="199"/>
      <c r="P227" s="198">
        <v>0</v>
      </c>
      <c r="Q227" s="198">
        <v>0</v>
      </c>
      <c r="R227" s="199">
        <f t="shared" si="13"/>
        <v>0</v>
      </c>
      <c r="U227" s="199"/>
      <c r="V227" s="199">
        <v>0</v>
      </c>
      <c r="W227" s="291"/>
      <c r="X227" s="291"/>
      <c r="Y227" s="291"/>
      <c r="Z227" s="291"/>
      <c r="AA227" s="291">
        <v>0</v>
      </c>
      <c r="AB227" s="291">
        <v>0</v>
      </c>
      <c r="AC227" s="291">
        <v>0</v>
      </c>
      <c r="AE227" s="176">
        <f t="shared" si="11"/>
        <v>0</v>
      </c>
      <c r="AF227" s="176">
        <f t="shared" si="11"/>
        <v>0</v>
      </c>
    </row>
    <row r="228" spans="1:32">
      <c r="A228" s="168">
        <v>3325</v>
      </c>
      <c r="B228" s="2">
        <v>148439</v>
      </c>
      <c r="C228" s="2" t="s">
        <v>423</v>
      </c>
      <c r="E228" s="174">
        <v>0</v>
      </c>
      <c r="F228" s="174">
        <v>0</v>
      </c>
      <c r="G228" s="174">
        <v>0</v>
      </c>
      <c r="H228" s="174">
        <f t="shared" si="12"/>
        <v>0</v>
      </c>
      <c r="J228" s="174">
        <v>0</v>
      </c>
      <c r="K228" s="174">
        <v>0</v>
      </c>
      <c r="L228" s="174">
        <v>0</v>
      </c>
      <c r="M228" s="174"/>
      <c r="O228" s="199"/>
      <c r="P228" s="198">
        <v>0</v>
      </c>
      <c r="Q228" s="198">
        <v>0</v>
      </c>
      <c r="R228" s="199">
        <f t="shared" si="13"/>
        <v>0</v>
      </c>
      <c r="U228" s="199"/>
      <c r="V228" s="199">
        <v>0</v>
      </c>
      <c r="W228" s="291"/>
      <c r="X228" s="291"/>
      <c r="Y228" s="291"/>
      <c r="Z228" s="291"/>
      <c r="AA228" s="291">
        <v>0</v>
      </c>
      <c r="AB228" s="291">
        <v>0</v>
      </c>
      <c r="AC228" s="291">
        <v>0</v>
      </c>
      <c r="AE228" s="176">
        <f t="shared" si="11"/>
        <v>0</v>
      </c>
      <c r="AF228" s="176">
        <f t="shared" si="11"/>
        <v>0</v>
      </c>
    </row>
    <row r="229" spans="1:32">
      <c r="A229" s="168">
        <v>4027</v>
      </c>
      <c r="B229" s="2">
        <v>144721</v>
      </c>
      <c r="C229" s="2" t="s">
        <v>424</v>
      </c>
      <c r="E229" s="174">
        <v>0</v>
      </c>
      <c r="F229" s="174">
        <v>0</v>
      </c>
      <c r="G229" s="174">
        <v>0</v>
      </c>
      <c r="H229" s="174">
        <f t="shared" si="12"/>
        <v>0</v>
      </c>
      <c r="J229" s="174">
        <v>0</v>
      </c>
      <c r="K229" s="174">
        <v>0</v>
      </c>
      <c r="L229" s="174">
        <v>0</v>
      </c>
      <c r="M229" s="174"/>
      <c r="O229" s="199"/>
      <c r="P229" s="198">
        <v>0</v>
      </c>
      <c r="Q229" s="198">
        <v>0</v>
      </c>
      <c r="R229" s="199">
        <f t="shared" si="13"/>
        <v>0</v>
      </c>
      <c r="U229" s="199"/>
      <c r="V229" s="199">
        <v>0</v>
      </c>
      <c r="W229" s="291"/>
      <c r="X229" s="291"/>
      <c r="Y229" s="291"/>
      <c r="Z229" s="291"/>
      <c r="AA229" s="291">
        <v>0</v>
      </c>
      <c r="AB229" s="291">
        <v>0</v>
      </c>
      <c r="AC229" s="291">
        <v>0</v>
      </c>
      <c r="AE229" s="176">
        <f t="shared" si="11"/>
        <v>0</v>
      </c>
      <c r="AF229" s="176">
        <f t="shared" si="11"/>
        <v>0</v>
      </c>
    </row>
    <row r="230" spans="1:32">
      <c r="A230" s="168">
        <v>2058</v>
      </c>
      <c r="B230" s="2">
        <v>138425</v>
      </c>
      <c r="C230" s="2" t="s">
        <v>425</v>
      </c>
      <c r="E230" s="174">
        <v>0</v>
      </c>
      <c r="F230" s="174">
        <v>0</v>
      </c>
      <c r="G230" s="174">
        <v>0</v>
      </c>
      <c r="H230" s="174">
        <f t="shared" si="12"/>
        <v>0</v>
      </c>
      <c r="J230" s="174">
        <v>0</v>
      </c>
      <c r="K230" s="174">
        <v>0</v>
      </c>
      <c r="L230" s="174">
        <v>0</v>
      </c>
      <c r="M230" s="174"/>
      <c r="O230" s="199"/>
      <c r="P230" s="198">
        <v>0</v>
      </c>
      <c r="Q230" s="198">
        <v>0</v>
      </c>
      <c r="R230" s="199">
        <f t="shared" si="13"/>
        <v>0</v>
      </c>
      <c r="U230" s="199"/>
      <c r="V230" s="199">
        <v>0</v>
      </c>
      <c r="W230" s="291"/>
      <c r="X230" s="291"/>
      <c r="Y230" s="291"/>
      <c r="Z230" s="291"/>
      <c r="AA230" s="291">
        <v>0</v>
      </c>
      <c r="AB230" s="291">
        <v>0</v>
      </c>
      <c r="AC230" s="291">
        <v>0</v>
      </c>
      <c r="AE230" s="176">
        <f t="shared" si="11"/>
        <v>0</v>
      </c>
      <c r="AF230" s="176">
        <f t="shared" si="11"/>
        <v>0</v>
      </c>
    </row>
    <row r="231" spans="1:32">
      <c r="A231" s="168">
        <v>4014</v>
      </c>
      <c r="B231" s="2">
        <v>140863</v>
      </c>
      <c r="C231" s="2" t="s">
        <v>426</v>
      </c>
      <c r="E231" s="174">
        <v>0</v>
      </c>
      <c r="F231" s="174">
        <v>0</v>
      </c>
      <c r="G231" s="174">
        <v>0</v>
      </c>
      <c r="H231" s="174">
        <f t="shared" si="12"/>
        <v>0</v>
      </c>
      <c r="J231" s="174">
        <v>0</v>
      </c>
      <c r="K231" s="174">
        <v>0</v>
      </c>
      <c r="L231" s="174">
        <v>0</v>
      </c>
      <c r="M231" s="174"/>
      <c r="O231" s="199"/>
      <c r="P231" s="198">
        <v>0</v>
      </c>
      <c r="Q231" s="198">
        <v>0</v>
      </c>
      <c r="R231" s="199">
        <f t="shared" si="13"/>
        <v>0</v>
      </c>
      <c r="U231" s="199"/>
      <c r="V231" s="199">
        <v>0</v>
      </c>
      <c r="W231" s="291"/>
      <c r="X231" s="291"/>
      <c r="Y231" s="291"/>
      <c r="Z231" s="291"/>
      <c r="AA231" s="291">
        <v>0</v>
      </c>
      <c r="AB231" s="291">
        <v>0</v>
      </c>
      <c r="AC231" s="291">
        <v>0</v>
      </c>
      <c r="AE231" s="176">
        <f t="shared" si="11"/>
        <v>0</v>
      </c>
      <c r="AF231" s="176">
        <f t="shared" si="11"/>
        <v>0</v>
      </c>
    </row>
    <row r="232" spans="1:32">
      <c r="A232" s="168">
        <v>4024</v>
      </c>
      <c r="B232" s="2">
        <v>144306</v>
      </c>
      <c r="C232" s="2" t="s">
        <v>427</v>
      </c>
      <c r="E232" s="174">
        <v>0</v>
      </c>
      <c r="F232" s="174">
        <v>0</v>
      </c>
      <c r="G232" s="174">
        <v>0</v>
      </c>
      <c r="H232" s="174">
        <f t="shared" si="12"/>
        <v>0</v>
      </c>
      <c r="J232" s="174">
        <v>0</v>
      </c>
      <c r="K232" s="174">
        <v>0</v>
      </c>
      <c r="L232" s="174">
        <v>0</v>
      </c>
      <c r="M232" s="174"/>
      <c r="O232" s="199"/>
      <c r="P232" s="198">
        <v>0</v>
      </c>
      <c r="Q232" s="198">
        <v>0</v>
      </c>
      <c r="R232" s="199">
        <f t="shared" si="13"/>
        <v>0</v>
      </c>
      <c r="U232" s="199"/>
      <c r="V232" s="199">
        <v>0</v>
      </c>
      <c r="W232" s="291"/>
      <c r="X232" s="291"/>
      <c r="Y232" s="291"/>
      <c r="Z232" s="291"/>
      <c r="AA232" s="291">
        <v>0</v>
      </c>
      <c r="AB232" s="291">
        <v>0</v>
      </c>
      <c r="AC232" s="291">
        <v>0</v>
      </c>
      <c r="AE232" s="176">
        <f t="shared" si="11"/>
        <v>0</v>
      </c>
      <c r="AF232" s="176">
        <f t="shared" si="11"/>
        <v>0</v>
      </c>
    </row>
    <row r="233" spans="1:32">
      <c r="A233" s="168">
        <v>2195</v>
      </c>
      <c r="B233" s="2">
        <v>138104</v>
      </c>
      <c r="C233" s="2" t="s">
        <v>428</v>
      </c>
      <c r="E233" s="174">
        <v>0</v>
      </c>
      <c r="F233" s="174">
        <v>0</v>
      </c>
      <c r="G233" s="174">
        <v>0</v>
      </c>
      <c r="H233" s="174">
        <f t="shared" si="12"/>
        <v>0</v>
      </c>
      <c r="J233" s="174">
        <v>0</v>
      </c>
      <c r="K233" s="174">
        <v>0</v>
      </c>
      <c r="L233" s="174">
        <v>0</v>
      </c>
      <c r="M233" s="174"/>
      <c r="O233" s="199"/>
      <c r="P233" s="198">
        <v>63437.249999999993</v>
      </c>
      <c r="Q233" s="198">
        <v>-6666.666666666667</v>
      </c>
      <c r="R233" s="199">
        <f t="shared" si="13"/>
        <v>56770.583333333328</v>
      </c>
      <c r="U233" s="199"/>
      <c r="V233" s="199">
        <v>0</v>
      </c>
      <c r="W233" s="291"/>
      <c r="X233" s="291"/>
      <c r="Y233" s="291"/>
      <c r="Z233" s="291"/>
      <c r="AA233" s="291">
        <v>0</v>
      </c>
      <c r="AB233" s="291">
        <v>0</v>
      </c>
      <c r="AC233" s="291">
        <v>0</v>
      </c>
      <c r="AE233" s="176">
        <f t="shared" ref="AE233:AF254" si="14">SUMIFS($E233:$H233,$E$3:$H$3,AE$7)+SUMIFS($O233:$R233,$O$3:$R$3,AE$7)+SUMIFS($J233:$M233,$J$3:$M$3,AE$7)+SUMIFS($U233:$AC233,$U$3:$AC$3,AE$7)</f>
        <v>-6666.666666666667</v>
      </c>
      <c r="AF233" s="176">
        <f t="shared" si="14"/>
        <v>63437.249999999993</v>
      </c>
    </row>
    <row r="234" spans="1:32">
      <c r="A234" s="168">
        <v>1112</v>
      </c>
      <c r="B234" s="2">
        <v>146731</v>
      </c>
      <c r="C234" s="2" t="s">
        <v>429</v>
      </c>
      <c r="E234" s="174">
        <v>0</v>
      </c>
      <c r="F234" s="174">
        <v>0</v>
      </c>
      <c r="G234" s="174">
        <v>0</v>
      </c>
      <c r="H234" s="174">
        <f t="shared" si="12"/>
        <v>0</v>
      </c>
      <c r="J234" s="174">
        <v>0</v>
      </c>
      <c r="K234" s="174">
        <v>0</v>
      </c>
      <c r="L234" s="174">
        <v>0</v>
      </c>
      <c r="M234" s="174"/>
      <c r="O234" s="199"/>
      <c r="P234" s="198">
        <v>0</v>
      </c>
      <c r="Q234" s="198">
        <v>0</v>
      </c>
      <c r="R234" s="199">
        <f t="shared" si="13"/>
        <v>0</v>
      </c>
      <c r="U234" s="199"/>
      <c r="V234" s="199">
        <v>0</v>
      </c>
      <c r="W234" s="291"/>
      <c r="X234" s="291"/>
      <c r="Y234" s="291"/>
      <c r="Z234" s="291"/>
      <c r="AA234" s="291">
        <v>0</v>
      </c>
      <c r="AB234" s="291">
        <v>0</v>
      </c>
      <c r="AC234" s="291">
        <v>0</v>
      </c>
      <c r="AE234" s="176">
        <f t="shared" si="14"/>
        <v>0</v>
      </c>
      <c r="AF234" s="176">
        <f t="shared" si="14"/>
        <v>0</v>
      </c>
    </row>
    <row r="235" spans="1:32">
      <c r="A235" s="168">
        <v>1108</v>
      </c>
      <c r="B235" s="2">
        <v>139731</v>
      </c>
      <c r="C235" s="2" t="s">
        <v>430</v>
      </c>
      <c r="E235" s="174">
        <v>0</v>
      </c>
      <c r="F235" s="174">
        <v>0</v>
      </c>
      <c r="G235" s="174">
        <v>0</v>
      </c>
      <c r="H235" s="174">
        <f t="shared" si="12"/>
        <v>0</v>
      </c>
      <c r="J235" s="174">
        <v>0</v>
      </c>
      <c r="K235" s="174">
        <v>0</v>
      </c>
      <c r="L235" s="174">
        <v>0</v>
      </c>
      <c r="M235" s="174"/>
      <c r="O235" s="199"/>
      <c r="P235" s="198">
        <v>0</v>
      </c>
      <c r="Q235" s="198">
        <v>0</v>
      </c>
      <c r="R235" s="199">
        <f t="shared" si="13"/>
        <v>0</v>
      </c>
      <c r="U235" s="199"/>
      <c r="V235" s="199">
        <v>0</v>
      </c>
      <c r="W235" s="291"/>
      <c r="X235" s="291"/>
      <c r="Y235" s="291"/>
      <c r="Z235" s="291"/>
      <c r="AA235" s="291">
        <v>0</v>
      </c>
      <c r="AB235" s="291">
        <v>0</v>
      </c>
      <c r="AC235" s="291">
        <v>0</v>
      </c>
      <c r="AE235" s="176">
        <f t="shared" si="14"/>
        <v>0</v>
      </c>
      <c r="AF235" s="176">
        <f t="shared" si="14"/>
        <v>0</v>
      </c>
    </row>
    <row r="236" spans="1:32">
      <c r="A236" s="168">
        <v>2126</v>
      </c>
      <c r="B236" s="2">
        <v>139439</v>
      </c>
      <c r="C236" s="2" t="s">
        <v>431</v>
      </c>
      <c r="E236" s="174">
        <v>0</v>
      </c>
      <c r="F236" s="174">
        <v>0</v>
      </c>
      <c r="G236" s="174">
        <v>0</v>
      </c>
      <c r="H236" s="174">
        <f t="shared" si="12"/>
        <v>0</v>
      </c>
      <c r="J236" s="174">
        <v>0</v>
      </c>
      <c r="K236" s="174">
        <v>0</v>
      </c>
      <c r="L236" s="174">
        <v>0</v>
      </c>
      <c r="M236" s="174"/>
      <c r="O236" s="199"/>
      <c r="P236" s="198">
        <v>0</v>
      </c>
      <c r="Q236" s="198">
        <v>0</v>
      </c>
      <c r="R236" s="199">
        <f t="shared" si="13"/>
        <v>0</v>
      </c>
      <c r="U236" s="199"/>
      <c r="V236" s="199">
        <v>0</v>
      </c>
      <c r="W236" s="291"/>
      <c r="X236" s="291"/>
      <c r="Y236" s="291"/>
      <c r="Z236" s="291"/>
      <c r="AA236" s="291">
        <v>0</v>
      </c>
      <c r="AB236" s="291">
        <v>0</v>
      </c>
      <c r="AC236" s="291">
        <v>0</v>
      </c>
      <c r="AE236" s="176">
        <f t="shared" si="14"/>
        <v>0</v>
      </c>
      <c r="AF236" s="176">
        <f t="shared" si="14"/>
        <v>0</v>
      </c>
    </row>
    <row r="237" spans="1:32">
      <c r="A237" s="168">
        <v>2273</v>
      </c>
      <c r="B237" s="2">
        <v>143091</v>
      </c>
      <c r="C237" s="2" t="s">
        <v>432</v>
      </c>
      <c r="E237" s="174">
        <v>0</v>
      </c>
      <c r="F237" s="174">
        <v>0</v>
      </c>
      <c r="G237" s="174">
        <v>0</v>
      </c>
      <c r="H237" s="174">
        <f t="shared" si="12"/>
        <v>0</v>
      </c>
      <c r="J237" s="174">
        <v>0</v>
      </c>
      <c r="K237" s="174">
        <v>0</v>
      </c>
      <c r="L237" s="174">
        <v>0</v>
      </c>
      <c r="M237" s="174"/>
      <c r="O237" s="199"/>
      <c r="P237" s="198">
        <v>648888</v>
      </c>
      <c r="Q237" s="198">
        <v>-83333.333333333328</v>
      </c>
      <c r="R237" s="199">
        <f t="shared" si="13"/>
        <v>565554.66666666663</v>
      </c>
      <c r="U237" s="199"/>
      <c r="V237" s="199">
        <v>0</v>
      </c>
      <c r="W237" s="291"/>
      <c r="X237" s="291"/>
      <c r="Y237" s="291"/>
      <c r="Z237" s="291"/>
      <c r="AA237" s="291">
        <v>0</v>
      </c>
      <c r="AB237" s="291">
        <v>0</v>
      </c>
      <c r="AC237" s="291">
        <v>-50000</v>
      </c>
      <c r="AE237" s="176">
        <f t="shared" si="14"/>
        <v>-83333.333333333328</v>
      </c>
      <c r="AF237" s="176">
        <f t="shared" si="14"/>
        <v>598888</v>
      </c>
    </row>
    <row r="238" spans="1:32">
      <c r="A238" s="168">
        <v>2145</v>
      </c>
      <c r="B238" s="2">
        <v>141206</v>
      </c>
      <c r="C238" s="2" t="s">
        <v>433</v>
      </c>
      <c r="E238" s="174">
        <v>0</v>
      </c>
      <c r="F238" s="174">
        <v>0</v>
      </c>
      <c r="G238" s="174">
        <v>0</v>
      </c>
      <c r="H238" s="174">
        <f t="shared" si="12"/>
        <v>0</v>
      </c>
      <c r="J238" s="174">
        <v>0</v>
      </c>
      <c r="K238" s="174">
        <v>0</v>
      </c>
      <c r="L238" s="174">
        <v>0</v>
      </c>
      <c r="M238" s="174"/>
      <c r="O238" s="199"/>
      <c r="P238" s="198">
        <v>0</v>
      </c>
      <c r="Q238" s="198">
        <v>0</v>
      </c>
      <c r="R238" s="199">
        <f t="shared" si="13"/>
        <v>0</v>
      </c>
      <c r="U238" s="199"/>
      <c r="V238" s="199">
        <v>0</v>
      </c>
      <c r="W238" s="291"/>
      <c r="X238" s="291"/>
      <c r="Y238" s="291"/>
      <c r="Z238" s="291"/>
      <c r="AA238" s="291">
        <v>0</v>
      </c>
      <c r="AB238" s="291">
        <v>0</v>
      </c>
      <c r="AC238" s="291">
        <v>0</v>
      </c>
      <c r="AE238" s="176">
        <f t="shared" si="14"/>
        <v>0</v>
      </c>
      <c r="AF238" s="176">
        <f t="shared" si="14"/>
        <v>0</v>
      </c>
    </row>
    <row r="239" spans="1:32">
      <c r="A239" s="168">
        <v>4040</v>
      </c>
      <c r="B239" s="2">
        <v>148521</v>
      </c>
      <c r="C239" s="2" t="s">
        <v>434</v>
      </c>
      <c r="E239" s="174">
        <v>0</v>
      </c>
      <c r="F239" s="174">
        <v>0</v>
      </c>
      <c r="G239" s="174">
        <v>0</v>
      </c>
      <c r="H239" s="174">
        <f t="shared" si="12"/>
        <v>0</v>
      </c>
      <c r="J239" s="174">
        <v>0</v>
      </c>
      <c r="K239" s="174">
        <v>0</v>
      </c>
      <c r="L239" s="174">
        <v>0</v>
      </c>
      <c r="M239" s="174"/>
      <c r="O239" s="199"/>
      <c r="P239" s="198">
        <v>0</v>
      </c>
      <c r="Q239" s="198">
        <v>0</v>
      </c>
      <c r="R239" s="199">
        <f t="shared" si="13"/>
        <v>0</v>
      </c>
      <c r="U239" s="199"/>
      <c r="V239" s="199">
        <v>0</v>
      </c>
      <c r="W239" s="291"/>
      <c r="X239" s="291"/>
      <c r="Y239" s="291"/>
      <c r="Z239" s="291"/>
      <c r="AA239" s="291">
        <v>0</v>
      </c>
      <c r="AB239" s="291">
        <v>0</v>
      </c>
      <c r="AC239" s="291">
        <v>0</v>
      </c>
      <c r="AE239" s="176">
        <f t="shared" si="14"/>
        <v>0</v>
      </c>
      <c r="AF239" s="176">
        <f t="shared" si="14"/>
        <v>0</v>
      </c>
    </row>
    <row r="240" spans="1:32">
      <c r="A240" s="168">
        <v>2175</v>
      </c>
      <c r="B240" s="2">
        <v>144390</v>
      </c>
      <c r="C240" s="2" t="s">
        <v>435</v>
      </c>
      <c r="E240" s="174">
        <v>0</v>
      </c>
      <c r="F240" s="174">
        <v>0</v>
      </c>
      <c r="G240" s="174">
        <v>0</v>
      </c>
      <c r="H240" s="174">
        <f t="shared" si="12"/>
        <v>0</v>
      </c>
      <c r="J240" s="174">
        <v>0</v>
      </c>
      <c r="K240" s="174">
        <v>0</v>
      </c>
      <c r="L240" s="174">
        <v>0</v>
      </c>
      <c r="M240" s="174"/>
      <c r="O240" s="199"/>
      <c r="P240" s="198">
        <v>0</v>
      </c>
      <c r="Q240" s="198">
        <v>0</v>
      </c>
      <c r="R240" s="199">
        <f t="shared" si="13"/>
        <v>0</v>
      </c>
      <c r="U240" s="199"/>
      <c r="V240" s="199">
        <v>0</v>
      </c>
      <c r="W240" s="291"/>
      <c r="X240" s="291"/>
      <c r="Y240" s="291"/>
      <c r="Z240" s="291"/>
      <c r="AA240" s="291">
        <v>0</v>
      </c>
      <c r="AB240" s="291">
        <v>0</v>
      </c>
      <c r="AC240" s="291">
        <v>0</v>
      </c>
      <c r="AE240" s="176">
        <f t="shared" si="14"/>
        <v>0</v>
      </c>
      <c r="AF240" s="176">
        <f t="shared" si="14"/>
        <v>0</v>
      </c>
    </row>
    <row r="241" spans="1:32">
      <c r="A241" s="168">
        <v>2449</v>
      </c>
      <c r="B241" s="2">
        <v>140518</v>
      </c>
      <c r="C241" s="2" t="s">
        <v>436</v>
      </c>
      <c r="E241" s="174">
        <v>0</v>
      </c>
      <c r="F241" s="174">
        <v>0</v>
      </c>
      <c r="G241" s="174">
        <v>0</v>
      </c>
      <c r="H241" s="174">
        <f t="shared" si="12"/>
        <v>0</v>
      </c>
      <c r="J241" s="174">
        <v>0</v>
      </c>
      <c r="K241" s="174">
        <v>0</v>
      </c>
      <c r="L241" s="174">
        <v>0</v>
      </c>
      <c r="M241" s="174"/>
      <c r="O241" s="199"/>
      <c r="P241" s="198">
        <v>0</v>
      </c>
      <c r="Q241" s="198">
        <v>0</v>
      </c>
      <c r="R241" s="199">
        <f t="shared" si="13"/>
        <v>0</v>
      </c>
      <c r="U241" s="199"/>
      <c r="V241" s="199">
        <v>0</v>
      </c>
      <c r="W241" s="291"/>
      <c r="X241" s="291"/>
      <c r="Y241" s="291"/>
      <c r="Z241" s="291"/>
      <c r="AA241" s="291">
        <v>0</v>
      </c>
      <c r="AB241" s="291">
        <v>0</v>
      </c>
      <c r="AC241" s="291">
        <v>0</v>
      </c>
      <c r="AE241" s="176">
        <f t="shared" si="14"/>
        <v>0</v>
      </c>
      <c r="AF241" s="176">
        <f t="shared" si="14"/>
        <v>0</v>
      </c>
    </row>
    <row r="242" spans="1:32">
      <c r="A242" s="168">
        <v>2068</v>
      </c>
      <c r="B242" s="2">
        <v>138303</v>
      </c>
      <c r="C242" s="2" t="s">
        <v>437</v>
      </c>
      <c r="E242" s="174">
        <v>0</v>
      </c>
      <c r="F242" s="174">
        <v>0</v>
      </c>
      <c r="G242" s="174">
        <v>0</v>
      </c>
      <c r="H242" s="174">
        <f t="shared" si="12"/>
        <v>0</v>
      </c>
      <c r="J242" s="174">
        <v>0</v>
      </c>
      <c r="K242" s="174">
        <v>0</v>
      </c>
      <c r="L242" s="174">
        <v>0</v>
      </c>
      <c r="M242" s="174"/>
      <c r="O242" s="199"/>
      <c r="P242" s="198">
        <v>0</v>
      </c>
      <c r="Q242" s="198">
        <v>0</v>
      </c>
      <c r="R242" s="199">
        <f t="shared" si="13"/>
        <v>0</v>
      </c>
      <c r="U242" s="199"/>
      <c r="V242" s="199">
        <v>0</v>
      </c>
      <c r="W242" s="291"/>
      <c r="X242" s="291"/>
      <c r="Y242" s="291"/>
      <c r="Z242" s="291"/>
      <c r="AA242" s="291">
        <v>0</v>
      </c>
      <c r="AB242" s="291">
        <v>0</v>
      </c>
      <c r="AC242" s="291">
        <v>0</v>
      </c>
      <c r="AE242" s="176">
        <f t="shared" si="14"/>
        <v>0</v>
      </c>
      <c r="AF242" s="176">
        <f t="shared" si="14"/>
        <v>0</v>
      </c>
    </row>
    <row r="243" spans="1:32">
      <c r="A243" s="168">
        <v>4084</v>
      </c>
      <c r="B243" s="2">
        <v>139888</v>
      </c>
      <c r="C243" s="2" t="s">
        <v>438</v>
      </c>
      <c r="E243" s="174">
        <v>0</v>
      </c>
      <c r="F243" s="174">
        <v>0</v>
      </c>
      <c r="G243" s="174">
        <v>0</v>
      </c>
      <c r="H243" s="174">
        <f t="shared" si="12"/>
        <v>0</v>
      </c>
      <c r="J243" s="174">
        <v>0</v>
      </c>
      <c r="K243" s="174">
        <v>0</v>
      </c>
      <c r="L243" s="174">
        <v>0</v>
      </c>
      <c r="M243" s="174"/>
      <c r="O243" s="199"/>
      <c r="P243" s="198">
        <v>0</v>
      </c>
      <c r="Q243" s="198">
        <v>0</v>
      </c>
      <c r="R243" s="199">
        <f t="shared" si="13"/>
        <v>0</v>
      </c>
      <c r="U243" s="199"/>
      <c r="V243" s="199">
        <v>0</v>
      </c>
      <c r="W243" s="291"/>
      <c r="X243" s="291"/>
      <c r="Y243" s="291"/>
      <c r="Z243" s="291"/>
      <c r="AA243" s="291">
        <v>0</v>
      </c>
      <c r="AB243" s="291">
        <v>0</v>
      </c>
      <c r="AC243" s="291">
        <v>0</v>
      </c>
      <c r="AE243" s="176">
        <f t="shared" si="14"/>
        <v>0</v>
      </c>
      <c r="AF243" s="176">
        <f t="shared" si="14"/>
        <v>0</v>
      </c>
    </row>
    <row r="244" spans="1:32">
      <c r="A244" s="168">
        <v>4009</v>
      </c>
      <c r="B244" s="2">
        <v>142219</v>
      </c>
      <c r="C244" s="2" t="s">
        <v>439</v>
      </c>
      <c r="E244" s="174">
        <v>0</v>
      </c>
      <c r="F244" s="174">
        <v>0</v>
      </c>
      <c r="G244" s="174">
        <v>0</v>
      </c>
      <c r="H244" s="174">
        <f t="shared" si="12"/>
        <v>0</v>
      </c>
      <c r="J244" s="174">
        <v>0</v>
      </c>
      <c r="K244" s="174">
        <v>0</v>
      </c>
      <c r="L244" s="174">
        <v>0</v>
      </c>
      <c r="M244" s="174"/>
      <c r="O244" s="199"/>
      <c r="P244" s="198">
        <v>825945.25000000047</v>
      </c>
      <c r="Q244" s="198">
        <v>-55833.333333333336</v>
      </c>
      <c r="R244" s="199">
        <f t="shared" si="13"/>
        <v>770111.91666666709</v>
      </c>
      <c r="U244" s="199"/>
      <c r="V244" s="199">
        <v>0</v>
      </c>
      <c r="W244" s="291"/>
      <c r="X244" s="291"/>
      <c r="Y244" s="291"/>
      <c r="Z244" s="291"/>
      <c r="AA244" s="291">
        <v>0</v>
      </c>
      <c r="AB244" s="291">
        <v>0</v>
      </c>
      <c r="AC244" s="291">
        <v>83332.853461538092</v>
      </c>
      <c r="AE244" s="176">
        <f t="shared" si="14"/>
        <v>-55833.333333333336</v>
      </c>
      <c r="AF244" s="176">
        <f t="shared" si="14"/>
        <v>909278.10346153856</v>
      </c>
    </row>
    <row r="245" spans="1:32">
      <c r="A245" s="168">
        <v>4010</v>
      </c>
      <c r="B245" s="2">
        <v>139788</v>
      </c>
      <c r="C245" s="2" t="s">
        <v>440</v>
      </c>
      <c r="E245" s="174">
        <v>0</v>
      </c>
      <c r="F245" s="174">
        <v>0</v>
      </c>
      <c r="G245" s="174">
        <v>0</v>
      </c>
      <c r="H245" s="174">
        <f t="shared" si="12"/>
        <v>0</v>
      </c>
      <c r="J245" s="174">
        <v>0</v>
      </c>
      <c r="K245" s="174">
        <v>0</v>
      </c>
      <c r="L245" s="174">
        <v>0</v>
      </c>
      <c r="M245" s="174"/>
      <c r="O245" s="199"/>
      <c r="P245" s="198">
        <v>0</v>
      </c>
      <c r="Q245" s="198">
        <v>0</v>
      </c>
      <c r="R245" s="199">
        <f t="shared" si="13"/>
        <v>0</v>
      </c>
      <c r="U245" s="199"/>
      <c r="V245" s="199">
        <v>0</v>
      </c>
      <c r="W245" s="291"/>
      <c r="X245" s="291"/>
      <c r="Y245" s="291"/>
      <c r="Z245" s="291"/>
      <c r="AA245" s="291">
        <v>0</v>
      </c>
      <c r="AB245" s="291">
        <v>0</v>
      </c>
      <c r="AC245" s="291">
        <v>0</v>
      </c>
      <c r="AE245" s="176">
        <f t="shared" si="14"/>
        <v>0</v>
      </c>
      <c r="AF245" s="176">
        <f t="shared" si="14"/>
        <v>0</v>
      </c>
    </row>
    <row r="246" spans="1:32">
      <c r="A246" s="168">
        <v>2471</v>
      </c>
      <c r="B246" s="2">
        <v>143943</v>
      </c>
      <c r="C246" s="2" t="s">
        <v>441</v>
      </c>
      <c r="E246" s="174">
        <v>0</v>
      </c>
      <c r="F246" s="174">
        <v>0</v>
      </c>
      <c r="G246" s="174">
        <v>0</v>
      </c>
      <c r="H246" s="174">
        <f t="shared" si="12"/>
        <v>0</v>
      </c>
      <c r="J246" s="174">
        <v>0</v>
      </c>
      <c r="K246" s="174">
        <v>0</v>
      </c>
      <c r="L246" s="174">
        <v>0</v>
      </c>
      <c r="M246" s="174"/>
      <c r="O246" s="199"/>
      <c r="P246" s="198">
        <v>0</v>
      </c>
      <c r="Q246" s="198">
        <v>0</v>
      </c>
      <c r="R246" s="199">
        <f t="shared" si="13"/>
        <v>0</v>
      </c>
      <c r="U246" s="199"/>
      <c r="V246" s="199">
        <v>0</v>
      </c>
      <c r="W246" s="291"/>
      <c r="X246" s="291"/>
      <c r="Y246" s="291"/>
      <c r="Z246" s="291"/>
      <c r="AA246" s="291">
        <v>0</v>
      </c>
      <c r="AB246" s="291">
        <v>0</v>
      </c>
      <c r="AC246" s="291">
        <v>0</v>
      </c>
      <c r="AE246" s="176">
        <f t="shared" si="14"/>
        <v>0</v>
      </c>
      <c r="AF246" s="176">
        <f t="shared" si="14"/>
        <v>0</v>
      </c>
    </row>
    <row r="247" spans="1:32">
      <c r="A247" s="168">
        <v>7031</v>
      </c>
      <c r="B247" s="2">
        <v>138281</v>
      </c>
      <c r="C247" s="2" t="s">
        <v>442</v>
      </c>
      <c r="E247" s="174">
        <v>284850</v>
      </c>
      <c r="F247" s="174">
        <v>2583247.7478479692</v>
      </c>
      <c r="G247" s="174">
        <v>178200</v>
      </c>
      <c r="H247" s="174">
        <f t="shared" si="12"/>
        <v>3046297.7478479692</v>
      </c>
      <c r="J247" s="174">
        <v>361480.76923076884</v>
      </c>
      <c r="K247" s="174">
        <v>81120</v>
      </c>
      <c r="L247" s="174">
        <v>0</v>
      </c>
      <c r="M247" s="174"/>
      <c r="O247" s="199"/>
      <c r="P247" s="198">
        <v>0</v>
      </c>
      <c r="Q247" s="198">
        <v>0</v>
      </c>
      <c r="R247" s="199">
        <f t="shared" si="13"/>
        <v>0</v>
      </c>
      <c r="U247" s="199"/>
      <c r="V247" s="199">
        <v>0</v>
      </c>
      <c r="W247" s="291"/>
      <c r="X247" s="291"/>
      <c r="Y247" s="291"/>
      <c r="Z247" s="291"/>
      <c r="AA247" s="291">
        <v>0</v>
      </c>
      <c r="AB247" s="291">
        <v>425672.86562014138</v>
      </c>
      <c r="AC247" s="291">
        <v>0</v>
      </c>
      <c r="AE247" s="176">
        <f t="shared" si="14"/>
        <v>284850</v>
      </c>
      <c r="AF247" s="176">
        <f t="shared" si="14"/>
        <v>3629721.3826988796</v>
      </c>
    </row>
    <row r="248" spans="1:32">
      <c r="A248" s="168">
        <v>2136</v>
      </c>
      <c r="B248" s="2">
        <v>139637</v>
      </c>
      <c r="C248" s="2" t="s">
        <v>443</v>
      </c>
      <c r="E248" s="174">
        <v>0</v>
      </c>
      <c r="F248" s="174">
        <v>0</v>
      </c>
      <c r="G248" s="174">
        <v>0</v>
      </c>
      <c r="H248" s="174">
        <f t="shared" si="12"/>
        <v>0</v>
      </c>
      <c r="J248" s="174">
        <v>0</v>
      </c>
      <c r="K248" s="174">
        <v>0</v>
      </c>
      <c r="L248" s="174">
        <v>0</v>
      </c>
      <c r="M248" s="174"/>
      <c r="O248" s="199"/>
      <c r="P248" s="198">
        <v>224145.08</v>
      </c>
      <c r="Q248" s="198">
        <v>-13333.333333333334</v>
      </c>
      <c r="R248" s="199">
        <f t="shared" si="13"/>
        <v>210811.74666666664</v>
      </c>
      <c r="U248" s="199"/>
      <c r="V248" s="199">
        <v>0</v>
      </c>
      <c r="W248" s="291"/>
      <c r="X248" s="291"/>
      <c r="Y248" s="291"/>
      <c r="Z248" s="291"/>
      <c r="AA248" s="291">
        <v>0</v>
      </c>
      <c r="AB248" s="291">
        <v>0</v>
      </c>
      <c r="AC248" s="291">
        <v>0</v>
      </c>
      <c r="AE248" s="176">
        <f t="shared" si="14"/>
        <v>-13333.333333333334</v>
      </c>
      <c r="AF248" s="176">
        <f t="shared" si="14"/>
        <v>224145.08</v>
      </c>
    </row>
    <row r="249" spans="1:32">
      <c r="A249" s="168">
        <v>2480</v>
      </c>
      <c r="B249" s="2">
        <v>142386</v>
      </c>
      <c r="C249" s="2" t="s">
        <v>444</v>
      </c>
      <c r="E249" s="174">
        <v>0</v>
      </c>
      <c r="F249" s="174">
        <v>0</v>
      </c>
      <c r="G249" s="174">
        <v>0</v>
      </c>
      <c r="H249" s="174">
        <f t="shared" si="12"/>
        <v>0</v>
      </c>
      <c r="J249" s="174">
        <v>0</v>
      </c>
      <c r="K249" s="174">
        <v>0</v>
      </c>
      <c r="L249" s="174">
        <v>0</v>
      </c>
      <c r="M249" s="174"/>
      <c r="O249" s="199"/>
      <c r="P249" s="198">
        <v>0</v>
      </c>
      <c r="Q249" s="198">
        <v>0</v>
      </c>
      <c r="R249" s="199">
        <f t="shared" si="13"/>
        <v>0</v>
      </c>
      <c r="U249" s="199"/>
      <c r="V249" s="199">
        <v>0</v>
      </c>
      <c r="W249" s="291"/>
      <c r="X249" s="291"/>
      <c r="Y249" s="291"/>
      <c r="Z249" s="291"/>
      <c r="AA249" s="291">
        <v>0</v>
      </c>
      <c r="AB249" s="291">
        <v>0</v>
      </c>
      <c r="AC249" s="291">
        <v>0</v>
      </c>
      <c r="AE249" s="176">
        <f t="shared" si="14"/>
        <v>0</v>
      </c>
      <c r="AF249" s="176">
        <f t="shared" si="14"/>
        <v>0</v>
      </c>
    </row>
    <row r="250" spans="1:32">
      <c r="A250" s="168">
        <v>2146</v>
      </c>
      <c r="B250" s="2">
        <v>141319</v>
      </c>
      <c r="C250" s="2" t="s">
        <v>445</v>
      </c>
      <c r="E250" s="174">
        <v>0</v>
      </c>
      <c r="F250" s="174">
        <v>0</v>
      </c>
      <c r="G250" s="174">
        <v>0</v>
      </c>
      <c r="H250" s="174">
        <f t="shared" si="12"/>
        <v>0</v>
      </c>
      <c r="J250" s="174">
        <v>0</v>
      </c>
      <c r="K250" s="174">
        <v>0</v>
      </c>
      <c r="L250" s="174">
        <v>0</v>
      </c>
      <c r="M250" s="174"/>
      <c r="O250" s="199"/>
      <c r="P250" s="198">
        <v>577211.60000000021</v>
      </c>
      <c r="Q250" s="198">
        <v>-58333.333333333336</v>
      </c>
      <c r="R250" s="199">
        <f t="shared" si="13"/>
        <v>518878.2666666669</v>
      </c>
      <c r="U250" s="199"/>
      <c r="V250" s="199">
        <v>0</v>
      </c>
      <c r="W250" s="291"/>
      <c r="X250" s="291"/>
      <c r="Y250" s="291"/>
      <c r="Z250" s="291"/>
      <c r="AA250" s="291">
        <v>0</v>
      </c>
      <c r="AB250" s="291">
        <v>0</v>
      </c>
      <c r="AC250" s="291">
        <v>-30000</v>
      </c>
      <c r="AE250" s="176">
        <f t="shared" si="14"/>
        <v>-58333.333333333336</v>
      </c>
      <c r="AF250" s="176">
        <f t="shared" si="14"/>
        <v>547211.60000000021</v>
      </c>
    </row>
    <row r="251" spans="1:32">
      <c r="A251" s="168">
        <v>4246</v>
      </c>
      <c r="B251" s="2">
        <v>139994</v>
      </c>
      <c r="C251" s="2" t="s">
        <v>446</v>
      </c>
      <c r="E251" s="174">
        <v>0</v>
      </c>
      <c r="F251" s="174">
        <v>0</v>
      </c>
      <c r="G251" s="174">
        <v>0</v>
      </c>
      <c r="H251" s="174">
        <f t="shared" si="12"/>
        <v>0</v>
      </c>
      <c r="J251" s="174">
        <v>0</v>
      </c>
      <c r="K251" s="174">
        <v>0</v>
      </c>
      <c r="L251" s="174">
        <v>0</v>
      </c>
      <c r="M251" s="174"/>
      <c r="O251" s="199"/>
      <c r="P251" s="198">
        <v>0</v>
      </c>
      <c r="Q251" s="198">
        <v>0</v>
      </c>
      <c r="R251" s="199">
        <f t="shared" si="13"/>
        <v>0</v>
      </c>
      <c r="U251" s="199"/>
      <c r="V251" s="199">
        <v>0</v>
      </c>
      <c r="W251" s="291"/>
      <c r="X251" s="291"/>
      <c r="Y251" s="291"/>
      <c r="Z251" s="291"/>
      <c r="AA251" s="291">
        <v>0</v>
      </c>
      <c r="AB251" s="291">
        <v>0</v>
      </c>
      <c r="AC251" s="291">
        <v>0</v>
      </c>
      <c r="AE251" s="176">
        <f t="shared" si="14"/>
        <v>0</v>
      </c>
      <c r="AF251" s="176">
        <f t="shared" si="14"/>
        <v>0</v>
      </c>
    </row>
    <row r="252" spans="1:32">
      <c r="A252" s="168">
        <v>2122</v>
      </c>
      <c r="B252" s="2">
        <v>139378</v>
      </c>
      <c r="C252" s="2" t="s">
        <v>447</v>
      </c>
      <c r="E252" s="174">
        <v>0</v>
      </c>
      <c r="F252" s="174">
        <v>0</v>
      </c>
      <c r="G252" s="174">
        <v>0</v>
      </c>
      <c r="H252" s="174">
        <f t="shared" si="12"/>
        <v>0</v>
      </c>
      <c r="J252" s="174">
        <v>0</v>
      </c>
      <c r="K252" s="174">
        <v>0</v>
      </c>
      <c r="L252" s="174">
        <v>0</v>
      </c>
      <c r="M252" s="174"/>
      <c r="O252" s="199"/>
      <c r="P252" s="198">
        <v>0</v>
      </c>
      <c r="Q252" s="198">
        <v>0</v>
      </c>
      <c r="R252" s="199">
        <f t="shared" si="13"/>
        <v>0</v>
      </c>
      <c r="U252" s="199"/>
      <c r="V252" s="199">
        <v>0</v>
      </c>
      <c r="W252" s="291"/>
      <c r="X252" s="291"/>
      <c r="Y252" s="291"/>
      <c r="Z252" s="291"/>
      <c r="AA252" s="291">
        <v>0</v>
      </c>
      <c r="AB252" s="291">
        <v>0</v>
      </c>
      <c r="AC252" s="291">
        <v>0</v>
      </c>
      <c r="AE252" s="176">
        <f t="shared" si="14"/>
        <v>0</v>
      </c>
      <c r="AF252" s="176">
        <f t="shared" si="14"/>
        <v>0</v>
      </c>
    </row>
    <row r="253" spans="1:32">
      <c r="A253" s="168">
        <v>2485</v>
      </c>
      <c r="B253" s="2">
        <v>146722</v>
      </c>
      <c r="C253" s="2" t="s">
        <v>448</v>
      </c>
      <c r="E253" s="174">
        <v>0</v>
      </c>
      <c r="F253" s="174">
        <v>0</v>
      </c>
      <c r="G253" s="174">
        <v>0</v>
      </c>
      <c r="H253" s="174">
        <f t="shared" si="12"/>
        <v>0</v>
      </c>
      <c r="J253" s="174">
        <v>0</v>
      </c>
      <c r="K253" s="174">
        <v>0</v>
      </c>
      <c r="L253" s="174">
        <v>0</v>
      </c>
      <c r="M253" s="174"/>
      <c r="O253" s="199"/>
      <c r="P253" s="198">
        <v>0</v>
      </c>
      <c r="Q253" s="198">
        <v>0</v>
      </c>
      <c r="R253" s="199">
        <f t="shared" si="13"/>
        <v>0</v>
      </c>
      <c r="U253" s="199"/>
      <c r="V253" s="199">
        <v>0</v>
      </c>
      <c r="W253" s="291"/>
      <c r="X253" s="291"/>
      <c r="Y253" s="291"/>
      <c r="Z253" s="291"/>
      <c r="AA253" s="291">
        <v>0</v>
      </c>
      <c r="AB253" s="291">
        <v>0</v>
      </c>
      <c r="AC253" s="291">
        <v>0</v>
      </c>
      <c r="AE253" s="176">
        <f t="shared" si="14"/>
        <v>0</v>
      </c>
      <c r="AF253" s="176">
        <f t="shared" si="14"/>
        <v>0</v>
      </c>
    </row>
    <row r="254" spans="1:32">
      <c r="A254" s="168">
        <v>2180</v>
      </c>
      <c r="B254" s="2">
        <v>142858</v>
      </c>
      <c r="C254" s="2" t="s">
        <v>449</v>
      </c>
      <c r="E254" s="174">
        <v>0</v>
      </c>
      <c r="F254" s="174">
        <v>0</v>
      </c>
      <c r="G254" s="174">
        <v>0</v>
      </c>
      <c r="H254" s="174">
        <f t="shared" si="12"/>
        <v>0</v>
      </c>
      <c r="J254" s="174">
        <v>0</v>
      </c>
      <c r="K254" s="174">
        <v>0</v>
      </c>
      <c r="L254" s="174">
        <v>0</v>
      </c>
      <c r="M254" s="174"/>
      <c r="O254" s="199"/>
      <c r="P254" s="198">
        <v>0</v>
      </c>
      <c r="Q254" s="198">
        <v>0</v>
      </c>
      <c r="R254" s="199">
        <f t="shared" si="13"/>
        <v>0</v>
      </c>
      <c r="U254" s="199"/>
      <c r="V254" s="199">
        <v>0</v>
      </c>
      <c r="W254" s="291"/>
      <c r="X254" s="291"/>
      <c r="Y254" s="291"/>
      <c r="Z254" s="291"/>
      <c r="AA254" s="291">
        <v>0</v>
      </c>
      <c r="AB254" s="291">
        <v>0</v>
      </c>
      <c r="AC254" s="291">
        <v>0</v>
      </c>
      <c r="AE254" s="176">
        <f t="shared" si="14"/>
        <v>0</v>
      </c>
      <c r="AF254" s="176">
        <f t="shared" si="14"/>
        <v>0</v>
      </c>
    </row>
    <row r="256" spans="1:32">
      <c r="E256" s="176">
        <f>SUM(E8:E255)</f>
        <v>2574815.4166666665</v>
      </c>
      <c r="F256" s="176">
        <f t="shared" ref="F256:J256" si="15">SUM(F8:F255)</f>
        <v>20214192.509301402</v>
      </c>
      <c r="G256" s="176">
        <f t="shared" si="15"/>
        <v>1624260</v>
      </c>
      <c r="H256" s="176">
        <f t="shared" si="15"/>
        <v>24413267.92596807</v>
      </c>
      <c r="J256" s="176">
        <f t="shared" si="15"/>
        <v>3677740.384615385</v>
      </c>
      <c r="K256" s="176">
        <f t="shared" ref="K256" si="16">SUM(K8:K255)</f>
        <v>567185</v>
      </c>
      <c r="L256" s="176">
        <f t="shared" ref="L256" si="17">SUM(L8:L255)</f>
        <v>0</v>
      </c>
      <c r="M256" s="176">
        <f t="shared" ref="M256:O256" si="18">SUM(M8:M255)</f>
        <v>0</v>
      </c>
      <c r="O256" s="176">
        <f t="shared" si="18"/>
        <v>0</v>
      </c>
      <c r="P256" s="176">
        <f t="shared" ref="P256" si="19">SUM(P8:P255)</f>
        <v>7059782.7300000014</v>
      </c>
      <c r="Q256" s="176">
        <f t="shared" ref="Q256" si="20">SUM(Q8:Q255)</f>
        <v>-592500</v>
      </c>
      <c r="R256" s="176">
        <f t="shared" ref="R256" si="21">SUM(R8:R255)</f>
        <v>6467282.7300000014</v>
      </c>
      <c r="U256" s="176">
        <f>SUM(U130:U255)</f>
        <v>75000</v>
      </c>
      <c r="V256" s="176">
        <f>SUM(V8:V255)</f>
        <v>98543.96</v>
      </c>
      <c r="W256" s="176">
        <f t="shared" ref="W256:AC256" si="22">SUM(W8:W255)</f>
        <v>917204.5</v>
      </c>
      <c r="X256" s="176">
        <f t="shared" si="22"/>
        <v>994950</v>
      </c>
      <c r="Y256" s="176">
        <f t="shared" si="22"/>
        <v>858559.360982785</v>
      </c>
      <c r="Z256" s="176">
        <f t="shared" si="22"/>
        <v>59400</v>
      </c>
      <c r="AA256" s="176">
        <f t="shared" si="22"/>
        <v>21539.58</v>
      </c>
      <c r="AB256" s="176">
        <f t="shared" si="22"/>
        <v>1473994.8185232631</v>
      </c>
      <c r="AC256" s="176">
        <f t="shared" si="22"/>
        <v>554029.98619939678</v>
      </c>
      <c r="AE256" s="176">
        <f>SUM(AE8:AE255)</f>
        <v>3916009.4966666661</v>
      </c>
      <c r="AF256" s="176">
        <f>SUM(AF8:AF255)</f>
        <v>36262688.749622233</v>
      </c>
    </row>
  </sheetData>
  <sheetProtection algorithmName="SHA-512" hashValue="TgF+OKC0FfmiflXOdd+f3TGplpwXy8g0EcumUhzyKBWTjjuRQu9uoO7XLl5NwnM4Gpww6k0Rk4i8nFlGrL5Oew==" saltValue="PJH4OloZgoO5Yq8jy7VwCg==" spinCount="100000" sheet="1" autoFilter="0"/>
  <autoFilter ref="A7:S254" xr:uid="{775EBADC-163A-4CDE-AAE2-A1EE7C263F73}"/>
  <mergeCells count="3">
    <mergeCell ref="E6:H6"/>
    <mergeCell ref="O6:R6"/>
    <mergeCell ref="J6:M6"/>
  </mergeCells>
  <phoneticPr fontId="94" type="noConversion"/>
  <conditionalFormatting sqref="J7:N7 A7:C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CFC7-2873-4814-80E4-8A7B7B468BAA}">
  <sheetPr codeName="Sheet16"/>
  <dimension ref="A1:G256"/>
  <sheetViews>
    <sheetView topLeftCell="A130" workbookViewId="0">
      <selection activeCell="A150" sqref="A150:C150"/>
    </sheetView>
  </sheetViews>
  <sheetFormatPr defaultRowHeight="14.5"/>
  <cols>
    <col min="1" max="1" width="41.1796875" bestFit="1" customWidth="1"/>
    <col min="2" max="2" width="6.26953125" bestFit="1" customWidth="1"/>
  </cols>
  <sheetData>
    <row r="1" spans="1:7">
      <c r="A1" s="1"/>
      <c r="B1" s="1"/>
      <c r="C1" s="1"/>
    </row>
    <row r="2" spans="1:7">
      <c r="A2" t="s">
        <v>450</v>
      </c>
      <c r="B2" t="s">
        <v>199</v>
      </c>
      <c r="C2" t="s">
        <v>199</v>
      </c>
      <c r="F2" s="267">
        <v>45748</v>
      </c>
      <c r="G2" t="s">
        <v>57</v>
      </c>
    </row>
    <row r="3" spans="1:7">
      <c r="A3" t="s">
        <v>212</v>
      </c>
      <c r="B3">
        <v>3318</v>
      </c>
      <c r="C3">
        <v>147669</v>
      </c>
      <c r="F3" s="267">
        <v>45778</v>
      </c>
      <c r="G3" t="s">
        <v>59</v>
      </c>
    </row>
    <row r="4" spans="1:7">
      <c r="A4" t="s">
        <v>213</v>
      </c>
      <c r="B4">
        <v>2020</v>
      </c>
      <c r="C4">
        <v>139443</v>
      </c>
      <c r="F4" s="267">
        <v>45809</v>
      </c>
    </row>
    <row r="5" spans="1:7">
      <c r="A5" t="s">
        <v>214</v>
      </c>
      <c r="B5">
        <v>3433</v>
      </c>
      <c r="C5">
        <v>140889</v>
      </c>
      <c r="F5" s="267">
        <v>45839</v>
      </c>
    </row>
    <row r="6" spans="1:7">
      <c r="A6" t="s">
        <v>215</v>
      </c>
      <c r="B6">
        <v>2144</v>
      </c>
      <c r="C6">
        <v>140656</v>
      </c>
      <c r="F6" s="267">
        <v>45870</v>
      </c>
    </row>
    <row r="7" spans="1:7">
      <c r="A7" t="s">
        <v>216</v>
      </c>
      <c r="B7">
        <v>4804</v>
      </c>
      <c r="C7">
        <v>146124</v>
      </c>
      <c r="F7" s="267">
        <v>45901</v>
      </c>
    </row>
    <row r="8" spans="1:7">
      <c r="A8" t="s">
        <v>217</v>
      </c>
      <c r="B8">
        <v>4031</v>
      </c>
      <c r="C8">
        <v>145580</v>
      </c>
      <c r="F8" s="267">
        <v>45931</v>
      </c>
    </row>
    <row r="9" spans="1:7">
      <c r="A9" t="s">
        <v>218</v>
      </c>
      <c r="B9">
        <v>4013</v>
      </c>
      <c r="C9">
        <v>140014</v>
      </c>
      <c r="F9" s="267">
        <v>45962</v>
      </c>
    </row>
    <row r="10" spans="1:7">
      <c r="A10" t="s">
        <v>219</v>
      </c>
      <c r="B10">
        <v>4001</v>
      </c>
      <c r="C10">
        <v>137578</v>
      </c>
      <c r="F10" s="267">
        <v>45992</v>
      </c>
    </row>
    <row r="11" spans="1:7">
      <c r="A11" t="s">
        <v>220</v>
      </c>
      <c r="B11">
        <v>6908</v>
      </c>
      <c r="C11">
        <v>135970</v>
      </c>
      <c r="F11" s="267">
        <v>46023</v>
      </c>
    </row>
    <row r="12" spans="1:7">
      <c r="A12" t="s">
        <v>221</v>
      </c>
      <c r="B12">
        <v>2056</v>
      </c>
      <c r="C12">
        <v>138397</v>
      </c>
      <c r="F12" s="267">
        <v>46054</v>
      </c>
    </row>
    <row r="13" spans="1:7">
      <c r="A13" t="s">
        <v>222</v>
      </c>
      <c r="B13">
        <v>4019</v>
      </c>
      <c r="C13">
        <v>141752</v>
      </c>
      <c r="F13" s="267">
        <v>46082</v>
      </c>
    </row>
    <row r="14" spans="1:7">
      <c r="A14" t="s">
        <v>223</v>
      </c>
      <c r="B14">
        <v>4220</v>
      </c>
      <c r="C14">
        <v>136882</v>
      </c>
      <c r="F14" s="267">
        <v>46113</v>
      </c>
    </row>
    <row r="15" spans="1:7">
      <c r="A15" t="s">
        <v>224</v>
      </c>
      <c r="B15">
        <v>2443</v>
      </c>
      <c r="C15">
        <v>142686</v>
      </c>
      <c r="F15" s="267">
        <v>46143</v>
      </c>
    </row>
    <row r="16" spans="1:7">
      <c r="A16" t="s">
        <v>225</v>
      </c>
      <c r="B16">
        <v>4003</v>
      </c>
      <c r="C16">
        <v>138222</v>
      </c>
    </row>
    <row r="17" spans="1:3">
      <c r="A17" t="s">
        <v>226</v>
      </c>
      <c r="B17">
        <v>3412</v>
      </c>
      <c r="C17">
        <v>143437</v>
      </c>
    </row>
    <row r="18" spans="1:3">
      <c r="A18" t="s">
        <v>227</v>
      </c>
      <c r="B18">
        <v>2450</v>
      </c>
      <c r="C18">
        <v>138694</v>
      </c>
    </row>
    <row r="19" spans="1:3">
      <c r="A19" t="s">
        <v>228</v>
      </c>
      <c r="B19">
        <v>4108</v>
      </c>
      <c r="C19">
        <v>136589</v>
      </c>
    </row>
    <row r="20" spans="1:3">
      <c r="A20" t="s">
        <v>229</v>
      </c>
      <c r="B20">
        <v>2072</v>
      </c>
      <c r="C20">
        <v>138888</v>
      </c>
    </row>
    <row r="21" spans="1:3">
      <c r="A21" t="s">
        <v>230</v>
      </c>
      <c r="B21">
        <v>2211</v>
      </c>
      <c r="C21">
        <v>150054</v>
      </c>
    </row>
    <row r="22" spans="1:3">
      <c r="A22" t="s">
        <v>231</v>
      </c>
      <c r="B22">
        <v>2186</v>
      </c>
      <c r="C22">
        <v>146075</v>
      </c>
    </row>
    <row r="23" spans="1:3">
      <c r="A23" t="s">
        <v>232</v>
      </c>
      <c r="B23">
        <v>4660</v>
      </c>
      <c r="C23">
        <v>137988</v>
      </c>
    </row>
    <row r="24" spans="1:3">
      <c r="A24" t="s">
        <v>233</v>
      </c>
      <c r="B24">
        <v>4661</v>
      </c>
      <c r="C24">
        <v>140524</v>
      </c>
    </row>
    <row r="25" spans="1:3">
      <c r="A25" t="s">
        <v>234</v>
      </c>
      <c r="B25">
        <v>4000</v>
      </c>
      <c r="C25">
        <v>136944</v>
      </c>
    </row>
    <row r="26" spans="1:3">
      <c r="A26" t="s">
        <v>235</v>
      </c>
      <c r="B26">
        <v>4044</v>
      </c>
      <c r="C26">
        <v>149042</v>
      </c>
    </row>
    <row r="27" spans="1:3">
      <c r="A27" t="s">
        <v>236</v>
      </c>
      <c r="B27">
        <v>4043</v>
      </c>
      <c r="C27">
        <v>148635</v>
      </c>
    </row>
    <row r="28" spans="1:3">
      <c r="A28" t="s">
        <v>237</v>
      </c>
      <c r="B28">
        <v>2171</v>
      </c>
      <c r="C28">
        <v>144337</v>
      </c>
    </row>
    <row r="29" spans="1:3">
      <c r="A29" t="s">
        <v>238</v>
      </c>
      <c r="B29">
        <v>4017</v>
      </c>
      <c r="C29">
        <v>141318</v>
      </c>
    </row>
    <row r="30" spans="1:3">
      <c r="A30" t="s">
        <v>239</v>
      </c>
      <c r="B30">
        <v>7038</v>
      </c>
      <c r="C30">
        <v>144042</v>
      </c>
    </row>
    <row r="31" spans="1:3">
      <c r="A31" t="s">
        <v>240</v>
      </c>
      <c r="B31">
        <v>4227</v>
      </c>
      <c r="C31">
        <v>139841</v>
      </c>
    </row>
    <row r="32" spans="1:3">
      <c r="A32" t="s">
        <v>10</v>
      </c>
      <c r="B32">
        <v>2223</v>
      </c>
      <c r="C32">
        <v>151212</v>
      </c>
    </row>
    <row r="33" spans="1:3">
      <c r="A33" t="s">
        <v>11</v>
      </c>
      <c r="B33">
        <v>2236</v>
      </c>
      <c r="C33">
        <v>151402</v>
      </c>
    </row>
    <row r="34" spans="1:3">
      <c r="A34" t="s">
        <v>241</v>
      </c>
      <c r="B34">
        <v>2196</v>
      </c>
      <c r="C34">
        <v>146437</v>
      </c>
    </row>
    <row r="35" spans="1:3">
      <c r="A35" t="s">
        <v>242</v>
      </c>
      <c r="B35">
        <v>2295</v>
      </c>
      <c r="C35">
        <v>139465</v>
      </c>
    </row>
    <row r="36" spans="1:3">
      <c r="A36" t="s">
        <v>243</v>
      </c>
      <c r="B36">
        <v>2152</v>
      </c>
      <c r="C36">
        <v>141320</v>
      </c>
    </row>
    <row r="37" spans="1:3">
      <c r="A37" t="s">
        <v>244</v>
      </c>
      <c r="B37">
        <v>7013</v>
      </c>
      <c r="C37">
        <v>141252</v>
      </c>
    </row>
    <row r="38" spans="1:3">
      <c r="A38" t="s">
        <v>245</v>
      </c>
      <c r="B38">
        <v>2039</v>
      </c>
      <c r="C38">
        <v>143942</v>
      </c>
    </row>
    <row r="39" spans="1:3">
      <c r="A39" t="s">
        <v>246</v>
      </c>
      <c r="B39">
        <v>2226</v>
      </c>
      <c r="C39">
        <v>143088</v>
      </c>
    </row>
    <row r="40" spans="1:3">
      <c r="A40" t="s">
        <v>247</v>
      </c>
      <c r="B40">
        <v>2170</v>
      </c>
      <c r="C40">
        <v>143908</v>
      </c>
    </row>
    <row r="41" spans="1:3">
      <c r="A41" t="s">
        <v>248</v>
      </c>
      <c r="B41">
        <v>2047</v>
      </c>
      <c r="C41">
        <v>138395</v>
      </c>
    </row>
    <row r="42" spans="1:3">
      <c r="A42" t="s">
        <v>249</v>
      </c>
      <c r="B42">
        <v>2140</v>
      </c>
      <c r="C42">
        <v>140159</v>
      </c>
    </row>
    <row r="43" spans="1:3">
      <c r="A43" t="s">
        <v>250</v>
      </c>
      <c r="B43">
        <v>4042</v>
      </c>
      <c r="C43">
        <v>148589</v>
      </c>
    </row>
    <row r="44" spans="1:3">
      <c r="A44" t="s">
        <v>251</v>
      </c>
      <c r="B44">
        <v>4039</v>
      </c>
      <c r="C44">
        <v>148187</v>
      </c>
    </row>
    <row r="45" spans="1:3">
      <c r="A45" t="s">
        <v>252</v>
      </c>
      <c r="B45">
        <v>2194</v>
      </c>
      <c r="C45">
        <v>146385</v>
      </c>
    </row>
    <row r="46" spans="1:3">
      <c r="A46" t="s">
        <v>253</v>
      </c>
      <c r="B46">
        <v>4022</v>
      </c>
      <c r="C46">
        <v>142388</v>
      </c>
    </row>
    <row r="47" spans="1:3">
      <c r="A47" t="s">
        <v>254</v>
      </c>
      <c r="B47">
        <v>2052</v>
      </c>
      <c r="C47">
        <v>146696</v>
      </c>
    </row>
    <row r="48" spans="1:3">
      <c r="A48" t="s">
        <v>255</v>
      </c>
      <c r="B48">
        <v>2082</v>
      </c>
      <c r="C48">
        <v>143086</v>
      </c>
    </row>
    <row r="49" spans="1:3">
      <c r="A49" t="s">
        <v>256</v>
      </c>
      <c r="B49">
        <v>2299</v>
      </c>
      <c r="C49">
        <v>140706</v>
      </c>
    </row>
    <row r="50" spans="1:3">
      <c r="A50" t="s">
        <v>149</v>
      </c>
      <c r="B50">
        <v>2191</v>
      </c>
      <c r="C50">
        <v>151017</v>
      </c>
    </row>
    <row r="51" spans="1:3">
      <c r="A51" t="s">
        <v>257</v>
      </c>
      <c r="B51">
        <v>2060</v>
      </c>
      <c r="C51">
        <v>143563</v>
      </c>
    </row>
    <row r="52" spans="1:3">
      <c r="A52" t="s">
        <v>258</v>
      </c>
      <c r="B52">
        <v>4129</v>
      </c>
      <c r="C52">
        <v>143438</v>
      </c>
    </row>
    <row r="53" spans="1:3">
      <c r="A53" t="s">
        <v>150</v>
      </c>
      <c r="B53">
        <v>2219</v>
      </c>
      <c r="C53">
        <v>150709</v>
      </c>
    </row>
    <row r="54" spans="1:3">
      <c r="A54" t="s">
        <v>259</v>
      </c>
      <c r="B54">
        <v>2065</v>
      </c>
      <c r="C54">
        <v>138218</v>
      </c>
    </row>
    <row r="55" spans="1:3">
      <c r="A55" t="s">
        <v>260</v>
      </c>
      <c r="B55">
        <v>6905</v>
      </c>
      <c r="C55">
        <v>135907</v>
      </c>
    </row>
    <row r="56" spans="1:3">
      <c r="A56" t="s">
        <v>261</v>
      </c>
      <c r="B56">
        <v>2048</v>
      </c>
      <c r="C56">
        <v>138396</v>
      </c>
    </row>
    <row r="57" spans="1:3">
      <c r="A57" t="s">
        <v>262</v>
      </c>
      <c r="B57">
        <v>6909</v>
      </c>
      <c r="C57">
        <v>136032</v>
      </c>
    </row>
    <row r="58" spans="1:3">
      <c r="A58" t="s">
        <v>263</v>
      </c>
      <c r="B58">
        <v>6907</v>
      </c>
      <c r="C58">
        <v>135911</v>
      </c>
    </row>
    <row r="59" spans="1:3">
      <c r="A59" t="s">
        <v>264</v>
      </c>
      <c r="B59">
        <v>1105</v>
      </c>
      <c r="C59">
        <v>138775</v>
      </c>
    </row>
    <row r="60" spans="1:3">
      <c r="A60" t="s">
        <v>265</v>
      </c>
      <c r="B60">
        <v>1110</v>
      </c>
      <c r="C60">
        <v>141739</v>
      </c>
    </row>
    <row r="61" spans="1:3">
      <c r="A61" t="s">
        <v>266</v>
      </c>
      <c r="B61">
        <v>4032</v>
      </c>
      <c r="C61">
        <v>145878</v>
      </c>
    </row>
    <row r="62" spans="1:3">
      <c r="A62" t="s">
        <v>267</v>
      </c>
      <c r="B62">
        <v>4021</v>
      </c>
      <c r="C62">
        <v>141969</v>
      </c>
    </row>
    <row r="63" spans="1:3">
      <c r="A63" t="s">
        <v>268</v>
      </c>
      <c r="B63">
        <v>4035</v>
      </c>
      <c r="C63">
        <v>147201</v>
      </c>
    </row>
    <row r="64" spans="1:3">
      <c r="A64" t="s">
        <v>269</v>
      </c>
      <c r="B64">
        <v>2168</v>
      </c>
      <c r="C64">
        <v>143413</v>
      </c>
    </row>
    <row r="65" spans="1:3">
      <c r="A65" t="s">
        <v>270</v>
      </c>
      <c r="B65">
        <v>2036</v>
      </c>
      <c r="C65">
        <v>138194</v>
      </c>
    </row>
    <row r="66" spans="1:3">
      <c r="A66" t="s">
        <v>271</v>
      </c>
      <c r="B66">
        <v>5410</v>
      </c>
      <c r="C66">
        <v>136908</v>
      </c>
    </row>
    <row r="67" spans="1:3">
      <c r="A67" t="s">
        <v>272</v>
      </c>
      <c r="B67">
        <v>2310</v>
      </c>
      <c r="C67">
        <v>139484</v>
      </c>
    </row>
    <row r="68" spans="1:3">
      <c r="A68" t="s">
        <v>273</v>
      </c>
      <c r="B68">
        <v>2475</v>
      </c>
      <c r="C68">
        <v>143089</v>
      </c>
    </row>
    <row r="69" spans="1:3">
      <c r="A69" t="s">
        <v>274</v>
      </c>
      <c r="B69">
        <v>5403</v>
      </c>
      <c r="C69">
        <v>143435</v>
      </c>
    </row>
    <row r="70" spans="1:3">
      <c r="A70" t="s">
        <v>275</v>
      </c>
      <c r="B70">
        <v>4005</v>
      </c>
      <c r="C70">
        <v>139047</v>
      </c>
    </row>
    <row r="71" spans="1:3">
      <c r="A71" t="s">
        <v>276</v>
      </c>
      <c r="B71">
        <v>2109</v>
      </c>
      <c r="C71">
        <v>139131</v>
      </c>
    </row>
    <row r="72" spans="1:3">
      <c r="A72" t="s">
        <v>277</v>
      </c>
      <c r="B72">
        <v>5412</v>
      </c>
      <c r="C72">
        <v>138695</v>
      </c>
    </row>
    <row r="73" spans="1:3">
      <c r="A73" t="s">
        <v>278</v>
      </c>
      <c r="B73">
        <v>2448</v>
      </c>
      <c r="C73">
        <v>142794</v>
      </c>
    </row>
    <row r="74" spans="1:3">
      <c r="A74" t="s">
        <v>279</v>
      </c>
      <c r="B74">
        <v>2451</v>
      </c>
      <c r="C74">
        <v>141610</v>
      </c>
    </row>
    <row r="75" spans="1:3">
      <c r="A75" t="s">
        <v>280</v>
      </c>
      <c r="B75">
        <v>2085</v>
      </c>
      <c r="C75">
        <v>138693</v>
      </c>
    </row>
    <row r="76" spans="1:3">
      <c r="A76" t="s">
        <v>281</v>
      </c>
      <c r="B76">
        <v>4006</v>
      </c>
      <c r="C76">
        <v>139048</v>
      </c>
    </row>
    <row r="77" spans="1:3">
      <c r="A77" t="s">
        <v>282</v>
      </c>
      <c r="B77">
        <v>2086</v>
      </c>
      <c r="C77">
        <v>143090</v>
      </c>
    </row>
    <row r="78" spans="1:3">
      <c r="A78" t="s">
        <v>283</v>
      </c>
      <c r="B78">
        <v>2138</v>
      </c>
      <c r="C78">
        <v>139904</v>
      </c>
    </row>
    <row r="79" spans="1:3">
      <c r="A79" t="s">
        <v>284</v>
      </c>
      <c r="B79">
        <v>3316</v>
      </c>
      <c r="C79">
        <v>148081</v>
      </c>
    </row>
    <row r="80" spans="1:3">
      <c r="A80" t="s">
        <v>285</v>
      </c>
      <c r="B80">
        <v>5409</v>
      </c>
      <c r="C80">
        <v>137858</v>
      </c>
    </row>
    <row r="81" spans="1:3">
      <c r="A81" t="s">
        <v>286</v>
      </c>
      <c r="B81">
        <v>7000</v>
      </c>
      <c r="C81">
        <v>144336</v>
      </c>
    </row>
    <row r="82" spans="1:3">
      <c r="A82" t="s">
        <v>287</v>
      </c>
      <c r="B82">
        <v>4240</v>
      </c>
      <c r="C82">
        <v>139746</v>
      </c>
    </row>
    <row r="83" spans="1:3">
      <c r="A83" t="s">
        <v>288</v>
      </c>
      <c r="B83">
        <v>6910</v>
      </c>
      <c r="C83">
        <v>136213</v>
      </c>
    </row>
    <row r="84" spans="1:3">
      <c r="A84" t="s">
        <v>289</v>
      </c>
      <c r="B84">
        <v>2121</v>
      </c>
      <c r="C84">
        <v>139269</v>
      </c>
    </row>
    <row r="85" spans="1:3">
      <c r="A85" t="s">
        <v>290</v>
      </c>
      <c r="B85">
        <v>2313</v>
      </c>
      <c r="C85">
        <v>149366</v>
      </c>
    </row>
    <row r="86" spans="1:3">
      <c r="A86" t="s">
        <v>291</v>
      </c>
      <c r="B86">
        <v>2309</v>
      </c>
      <c r="C86">
        <v>142231</v>
      </c>
    </row>
    <row r="87" spans="1:3">
      <c r="A87" t="s">
        <v>292</v>
      </c>
      <c r="B87">
        <v>2455</v>
      </c>
      <c r="C87">
        <v>140890</v>
      </c>
    </row>
    <row r="88" spans="1:3">
      <c r="A88" t="s">
        <v>293</v>
      </c>
      <c r="B88">
        <v>2165</v>
      </c>
      <c r="C88">
        <v>142570</v>
      </c>
    </row>
    <row r="89" spans="1:3">
      <c r="A89" t="s">
        <v>294</v>
      </c>
      <c r="B89">
        <v>2210</v>
      </c>
      <c r="C89">
        <v>149483</v>
      </c>
    </row>
    <row r="90" spans="1:3">
      <c r="A90" t="s">
        <v>295</v>
      </c>
      <c r="B90">
        <v>3429</v>
      </c>
      <c r="C90">
        <v>139520</v>
      </c>
    </row>
    <row r="91" spans="1:3">
      <c r="A91" t="s">
        <v>296</v>
      </c>
      <c r="B91">
        <v>4012</v>
      </c>
      <c r="C91">
        <v>137346</v>
      </c>
    </row>
    <row r="92" spans="1:3">
      <c r="A92" t="s">
        <v>297</v>
      </c>
      <c r="B92">
        <v>2434</v>
      </c>
      <c r="C92">
        <v>141270</v>
      </c>
    </row>
    <row r="93" spans="1:3">
      <c r="A93" t="s">
        <v>298</v>
      </c>
      <c r="B93">
        <v>3430</v>
      </c>
      <c r="C93">
        <v>143869</v>
      </c>
    </row>
    <row r="94" spans="1:3">
      <c r="A94" t="s">
        <v>299</v>
      </c>
      <c r="B94">
        <v>2429</v>
      </c>
      <c r="C94">
        <v>149305</v>
      </c>
    </row>
    <row r="95" spans="1:3">
      <c r="A95" t="s">
        <v>300</v>
      </c>
      <c r="B95" s="1">
        <v>2288</v>
      </c>
      <c r="C95">
        <v>149607</v>
      </c>
    </row>
    <row r="96" spans="1:3">
      <c r="A96" t="s">
        <v>301</v>
      </c>
      <c r="B96">
        <v>3402</v>
      </c>
      <c r="C96">
        <v>140525</v>
      </c>
    </row>
    <row r="97" spans="1:3">
      <c r="A97" t="s">
        <v>302</v>
      </c>
      <c r="B97">
        <v>2199</v>
      </c>
      <c r="C97">
        <v>147009</v>
      </c>
    </row>
    <row r="98" spans="1:3">
      <c r="A98" t="s">
        <v>303</v>
      </c>
      <c r="B98">
        <v>4026</v>
      </c>
      <c r="C98">
        <v>144719</v>
      </c>
    </row>
    <row r="99" spans="1:3">
      <c r="A99" t="s">
        <v>304</v>
      </c>
      <c r="B99">
        <v>3303</v>
      </c>
      <c r="C99">
        <v>140463</v>
      </c>
    </row>
    <row r="100" spans="1:3">
      <c r="A100" t="s">
        <v>305</v>
      </c>
      <c r="B100">
        <v>4241</v>
      </c>
      <c r="C100">
        <v>137034</v>
      </c>
    </row>
    <row r="101" spans="1:3">
      <c r="A101" t="s">
        <v>306</v>
      </c>
      <c r="B101">
        <v>7063</v>
      </c>
      <c r="C101">
        <v>139526</v>
      </c>
    </row>
    <row r="102" spans="1:3">
      <c r="A102" t="s">
        <v>307</v>
      </c>
      <c r="B102">
        <v>2111</v>
      </c>
      <c r="C102">
        <v>142353</v>
      </c>
    </row>
    <row r="103" spans="1:3">
      <c r="A103" t="s">
        <v>308</v>
      </c>
      <c r="B103">
        <v>4016</v>
      </c>
      <c r="C103">
        <v>141003</v>
      </c>
    </row>
    <row r="104" spans="1:3">
      <c r="A104" t="s">
        <v>309</v>
      </c>
      <c r="B104">
        <v>5408</v>
      </c>
      <c r="C104">
        <v>137043</v>
      </c>
    </row>
    <row r="105" spans="1:3">
      <c r="A105" t="s">
        <v>310</v>
      </c>
      <c r="B105">
        <v>4036</v>
      </c>
      <c r="C105">
        <v>147440</v>
      </c>
    </row>
    <row r="106" spans="1:3">
      <c r="A106" t="s">
        <v>311</v>
      </c>
      <c r="B106">
        <v>5407</v>
      </c>
      <c r="C106">
        <v>137045</v>
      </c>
    </row>
    <row r="107" spans="1:3">
      <c r="A107" t="s">
        <v>312</v>
      </c>
      <c r="B107">
        <v>5406</v>
      </c>
      <c r="C107">
        <v>137044</v>
      </c>
    </row>
    <row r="108" spans="1:3">
      <c r="A108" t="s">
        <v>313</v>
      </c>
      <c r="B108">
        <v>5405</v>
      </c>
      <c r="C108">
        <v>137046</v>
      </c>
    </row>
    <row r="109" spans="1:3">
      <c r="A109" t="s">
        <v>314</v>
      </c>
      <c r="B109">
        <v>5402</v>
      </c>
      <c r="C109">
        <v>143562</v>
      </c>
    </row>
    <row r="110" spans="1:3">
      <c r="A110" t="s">
        <v>315</v>
      </c>
      <c r="B110">
        <v>5404</v>
      </c>
      <c r="C110">
        <v>137047</v>
      </c>
    </row>
    <row r="111" spans="1:3">
      <c r="A111" t="s">
        <v>316</v>
      </c>
      <c r="B111">
        <v>4207</v>
      </c>
      <c r="C111">
        <v>138937</v>
      </c>
    </row>
    <row r="112" spans="1:3">
      <c r="A112" t="s">
        <v>317</v>
      </c>
      <c r="B112">
        <v>5415</v>
      </c>
      <c r="C112">
        <v>150320</v>
      </c>
    </row>
    <row r="113" spans="1:3">
      <c r="A113" t="s">
        <v>318</v>
      </c>
      <c r="B113">
        <v>4060</v>
      </c>
      <c r="C113">
        <v>136592</v>
      </c>
    </row>
    <row r="114" spans="1:3">
      <c r="A114" t="s">
        <v>319</v>
      </c>
      <c r="B114">
        <v>4187</v>
      </c>
      <c r="C114">
        <v>148684</v>
      </c>
    </row>
    <row r="115" spans="1:3">
      <c r="A115" t="s">
        <v>320</v>
      </c>
      <c r="B115">
        <v>6906</v>
      </c>
      <c r="C115">
        <v>136152</v>
      </c>
    </row>
    <row r="116" spans="1:3">
      <c r="A116" t="s">
        <v>321</v>
      </c>
      <c r="B116">
        <v>5414</v>
      </c>
      <c r="C116">
        <v>136590</v>
      </c>
    </row>
    <row r="117" spans="1:3">
      <c r="A117" t="s">
        <v>322</v>
      </c>
      <c r="B117">
        <v>2209</v>
      </c>
      <c r="C117">
        <v>149131</v>
      </c>
    </row>
    <row r="118" spans="1:3">
      <c r="A118" t="s">
        <v>323</v>
      </c>
      <c r="B118">
        <v>2073</v>
      </c>
      <c r="C118">
        <v>138889</v>
      </c>
    </row>
    <row r="119" spans="1:3">
      <c r="A119" t="s">
        <v>324</v>
      </c>
      <c r="B119">
        <v>2119</v>
      </c>
      <c r="C119">
        <v>150181</v>
      </c>
    </row>
    <row r="120" spans="1:3">
      <c r="A120" t="s">
        <v>325</v>
      </c>
      <c r="B120">
        <v>2096</v>
      </c>
      <c r="C120">
        <v>139003</v>
      </c>
    </row>
    <row r="121" spans="1:3">
      <c r="A121" t="s">
        <v>326</v>
      </c>
      <c r="B121">
        <v>7005</v>
      </c>
      <c r="C121">
        <v>148722</v>
      </c>
    </row>
    <row r="122" spans="1:3">
      <c r="A122" t="s">
        <v>327</v>
      </c>
      <c r="B122">
        <v>2453</v>
      </c>
      <c r="C122">
        <v>140502</v>
      </c>
    </row>
    <row r="123" spans="1:3">
      <c r="A123" t="s">
        <v>328</v>
      </c>
      <c r="B123">
        <v>2207</v>
      </c>
      <c r="C123">
        <v>148653</v>
      </c>
    </row>
    <row r="124" spans="1:3">
      <c r="A124" t="s">
        <v>329</v>
      </c>
      <c r="B124">
        <v>4029</v>
      </c>
      <c r="C124">
        <v>145120</v>
      </c>
    </row>
    <row r="125" spans="1:3">
      <c r="A125" t="s">
        <v>330</v>
      </c>
      <c r="B125">
        <v>2162</v>
      </c>
      <c r="C125">
        <v>141977</v>
      </c>
    </row>
    <row r="126" spans="1:3">
      <c r="A126" t="s">
        <v>331</v>
      </c>
      <c r="B126">
        <v>2075</v>
      </c>
      <c r="C126">
        <v>138998</v>
      </c>
    </row>
    <row r="127" spans="1:3">
      <c r="A127" t="s">
        <v>332</v>
      </c>
      <c r="B127">
        <v>2132</v>
      </c>
      <c r="C127">
        <v>146701</v>
      </c>
    </row>
    <row r="128" spans="1:3">
      <c r="A128" t="s">
        <v>12</v>
      </c>
      <c r="B128">
        <v>3322</v>
      </c>
      <c r="C128">
        <v>151625</v>
      </c>
    </row>
    <row r="129" spans="1:3">
      <c r="A129" t="s">
        <v>333</v>
      </c>
      <c r="B129">
        <v>7004</v>
      </c>
      <c r="C129">
        <v>148225</v>
      </c>
    </row>
    <row r="130" spans="1:3">
      <c r="A130" t="s">
        <v>334</v>
      </c>
      <c r="B130">
        <v>2463</v>
      </c>
      <c r="C130">
        <v>139452</v>
      </c>
    </row>
    <row r="131" spans="1:3">
      <c r="A131" t="s">
        <v>335</v>
      </c>
      <c r="B131">
        <v>2100</v>
      </c>
      <c r="C131">
        <v>139014</v>
      </c>
    </row>
    <row r="132" spans="1:3">
      <c r="A132" t="s">
        <v>336</v>
      </c>
      <c r="B132">
        <v>2070</v>
      </c>
      <c r="C132">
        <v>138864</v>
      </c>
    </row>
    <row r="133" spans="1:3">
      <c r="A133" t="s">
        <v>337</v>
      </c>
      <c r="B133">
        <v>2078</v>
      </c>
      <c r="C133">
        <v>139000</v>
      </c>
    </row>
    <row r="134" spans="1:3">
      <c r="A134" t="s">
        <v>338</v>
      </c>
      <c r="B134">
        <v>2038</v>
      </c>
      <c r="C134">
        <v>138799</v>
      </c>
    </row>
    <row r="135" spans="1:3">
      <c r="A135" t="s">
        <v>16</v>
      </c>
      <c r="B135">
        <v>3431</v>
      </c>
      <c r="C135">
        <v>134774</v>
      </c>
    </row>
    <row r="136" spans="1:3">
      <c r="A136" t="s">
        <v>339</v>
      </c>
      <c r="B136">
        <v>5411</v>
      </c>
      <c r="C136">
        <v>136406</v>
      </c>
    </row>
    <row r="137" spans="1:3">
      <c r="A137" t="s">
        <v>340</v>
      </c>
      <c r="B137">
        <v>4004</v>
      </c>
      <c r="C137">
        <v>138586</v>
      </c>
    </row>
    <row r="138" spans="1:3">
      <c r="A138" t="s">
        <v>341</v>
      </c>
      <c r="B138">
        <v>2032</v>
      </c>
      <c r="C138">
        <v>137492</v>
      </c>
    </row>
    <row r="139" spans="1:3">
      <c r="A139" t="s">
        <v>342</v>
      </c>
      <c r="B139">
        <v>2315</v>
      </c>
      <c r="C139">
        <v>142358</v>
      </c>
    </row>
    <row r="140" spans="1:3">
      <c r="A140" t="s">
        <v>343</v>
      </c>
      <c r="B140">
        <v>2263</v>
      </c>
      <c r="C140">
        <v>142203</v>
      </c>
    </row>
    <row r="141" spans="1:3">
      <c r="A141" t="s">
        <v>344</v>
      </c>
      <c r="B141">
        <v>2212</v>
      </c>
      <c r="C141">
        <v>150692</v>
      </c>
    </row>
    <row r="142" spans="1:3">
      <c r="A142" t="s">
        <v>345</v>
      </c>
      <c r="B142">
        <v>2102</v>
      </c>
      <c r="C142">
        <v>139120</v>
      </c>
    </row>
    <row r="143" spans="1:3">
      <c r="A143" t="s">
        <v>346</v>
      </c>
      <c r="B143">
        <v>2107</v>
      </c>
      <c r="C143">
        <v>139129</v>
      </c>
    </row>
    <row r="144" spans="1:3">
      <c r="A144" t="s">
        <v>347</v>
      </c>
      <c r="B144">
        <v>2117</v>
      </c>
      <c r="C144">
        <v>139242</v>
      </c>
    </row>
    <row r="145" spans="1:3">
      <c r="A145" t="s">
        <v>348</v>
      </c>
      <c r="B145">
        <v>2141</v>
      </c>
      <c r="C145">
        <v>140161</v>
      </c>
    </row>
    <row r="146" spans="1:3">
      <c r="A146" t="s">
        <v>349</v>
      </c>
      <c r="B146">
        <v>2110</v>
      </c>
      <c r="C146">
        <v>139214</v>
      </c>
    </row>
    <row r="147" spans="1:3">
      <c r="A147" t="s">
        <v>350</v>
      </c>
      <c r="B147">
        <v>2103</v>
      </c>
      <c r="C147">
        <v>139125</v>
      </c>
    </row>
    <row r="148" spans="1:3">
      <c r="A148" t="s">
        <v>351</v>
      </c>
      <c r="B148" s="1">
        <v>2221</v>
      </c>
      <c r="C148">
        <v>150894</v>
      </c>
    </row>
    <row r="149" spans="1:3">
      <c r="A149" t="s">
        <v>352</v>
      </c>
      <c r="B149">
        <v>2105</v>
      </c>
      <c r="C149">
        <v>139128</v>
      </c>
    </row>
    <row r="150" spans="1:3">
      <c r="A150" t="s">
        <v>483</v>
      </c>
      <c r="B150">
        <v>7007</v>
      </c>
      <c r="C150">
        <v>151642</v>
      </c>
    </row>
    <row r="151" spans="1:3">
      <c r="A151" t="s">
        <v>353</v>
      </c>
      <c r="B151">
        <v>2206</v>
      </c>
      <c r="C151">
        <v>147758</v>
      </c>
    </row>
    <row r="152" spans="1:3">
      <c r="A152" t="s">
        <v>354</v>
      </c>
      <c r="B152">
        <v>3374</v>
      </c>
      <c r="C152">
        <v>141484</v>
      </c>
    </row>
    <row r="153" spans="1:3">
      <c r="A153" t="s">
        <v>355</v>
      </c>
      <c r="B153">
        <v>3357</v>
      </c>
      <c r="C153">
        <v>148082</v>
      </c>
    </row>
    <row r="154" spans="1:3">
      <c r="A154" t="s">
        <v>356</v>
      </c>
      <c r="B154">
        <v>2021</v>
      </c>
      <c r="C154">
        <v>150148</v>
      </c>
    </row>
    <row r="155" spans="1:3">
      <c r="A155" t="s">
        <v>151</v>
      </c>
      <c r="B155">
        <v>2149</v>
      </c>
      <c r="C155">
        <v>150639</v>
      </c>
    </row>
    <row r="156" spans="1:3">
      <c r="A156" t="s">
        <v>357</v>
      </c>
      <c r="B156">
        <v>2458</v>
      </c>
      <c r="C156">
        <v>139162</v>
      </c>
    </row>
    <row r="157" spans="1:3">
      <c r="A157" t="s">
        <v>358</v>
      </c>
      <c r="B157">
        <v>2452</v>
      </c>
      <c r="C157">
        <v>139631</v>
      </c>
    </row>
    <row r="158" spans="1:3">
      <c r="A158" t="s">
        <v>359</v>
      </c>
      <c r="B158">
        <v>2057</v>
      </c>
      <c r="C158">
        <v>138410</v>
      </c>
    </row>
    <row r="159" spans="1:3">
      <c r="A159" t="s">
        <v>360</v>
      </c>
      <c r="B159">
        <v>4331</v>
      </c>
      <c r="C159">
        <v>137053</v>
      </c>
    </row>
    <row r="160" spans="1:3">
      <c r="A160" t="s">
        <v>361</v>
      </c>
      <c r="B160">
        <v>4041</v>
      </c>
      <c r="C160">
        <v>148553</v>
      </c>
    </row>
    <row r="161" spans="1:3">
      <c r="A161" t="s">
        <v>362</v>
      </c>
      <c r="B161">
        <v>2003</v>
      </c>
      <c r="C161">
        <v>142230</v>
      </c>
    </row>
    <row r="162" spans="1:3">
      <c r="A162" t="s">
        <v>363</v>
      </c>
      <c r="B162">
        <v>2156</v>
      </c>
      <c r="C162">
        <v>143436</v>
      </c>
    </row>
    <row r="163" spans="1:3">
      <c r="A163" t="s">
        <v>364</v>
      </c>
      <c r="B163">
        <v>2198</v>
      </c>
      <c r="C163">
        <v>146817</v>
      </c>
    </row>
    <row r="164" spans="1:3">
      <c r="A164" t="s">
        <v>365</v>
      </c>
      <c r="B164">
        <v>7001</v>
      </c>
      <c r="C164">
        <v>146858</v>
      </c>
    </row>
    <row r="165" spans="1:3">
      <c r="A165" t="s">
        <v>366</v>
      </c>
      <c r="B165">
        <v>3004</v>
      </c>
      <c r="C165">
        <v>143439</v>
      </c>
    </row>
    <row r="166" spans="1:3">
      <c r="A166" t="s">
        <v>367</v>
      </c>
      <c r="B166">
        <v>1107</v>
      </c>
      <c r="C166">
        <v>139671</v>
      </c>
    </row>
    <row r="167" spans="1:3">
      <c r="A167" t="s">
        <v>368</v>
      </c>
      <c r="B167">
        <v>2080</v>
      </c>
      <c r="C167">
        <v>139002</v>
      </c>
    </row>
    <row r="168" spans="1:3">
      <c r="A168" t="s">
        <v>369</v>
      </c>
      <c r="B168">
        <v>2460</v>
      </c>
      <c r="C168">
        <v>140262</v>
      </c>
    </row>
    <row r="169" spans="1:3">
      <c r="A169" t="s">
        <v>370</v>
      </c>
      <c r="B169">
        <v>4323</v>
      </c>
      <c r="C169">
        <v>138059</v>
      </c>
    </row>
    <row r="170" spans="1:3">
      <c r="A170" t="s">
        <v>371</v>
      </c>
      <c r="B170">
        <v>2481</v>
      </c>
      <c r="C170">
        <v>137168</v>
      </c>
    </row>
    <row r="171" spans="1:3">
      <c r="A171" t="s">
        <v>372</v>
      </c>
      <c r="B171">
        <v>2202</v>
      </c>
      <c r="C171">
        <v>147109</v>
      </c>
    </row>
    <row r="172" spans="1:3">
      <c r="A172" t="s">
        <v>373</v>
      </c>
      <c r="B172">
        <v>3302</v>
      </c>
      <c r="C172">
        <v>147478</v>
      </c>
    </row>
    <row r="173" spans="1:3">
      <c r="A173" t="s">
        <v>374</v>
      </c>
      <c r="B173">
        <v>4018</v>
      </c>
      <c r="C173">
        <v>141668</v>
      </c>
    </row>
    <row r="174" spans="1:3">
      <c r="A174" t="s">
        <v>375</v>
      </c>
      <c r="B174">
        <v>2037</v>
      </c>
      <c r="C174">
        <v>138590</v>
      </c>
    </row>
    <row r="175" spans="1:3">
      <c r="A175" t="s">
        <v>376</v>
      </c>
      <c r="B175">
        <v>4025</v>
      </c>
      <c r="C175">
        <v>144464</v>
      </c>
    </row>
    <row r="176" spans="1:3">
      <c r="A176" t="s">
        <v>377</v>
      </c>
      <c r="B176" s="1">
        <v>2181</v>
      </c>
      <c r="C176">
        <v>144722</v>
      </c>
    </row>
    <row r="177" spans="1:3">
      <c r="A177" t="s">
        <v>378</v>
      </c>
      <c r="B177">
        <v>2187</v>
      </c>
      <c r="C177">
        <v>146268</v>
      </c>
    </row>
    <row r="178" spans="1:3">
      <c r="A178" t="s">
        <v>379</v>
      </c>
      <c r="B178">
        <v>3362</v>
      </c>
      <c r="C178">
        <v>146298</v>
      </c>
    </row>
    <row r="179" spans="1:3">
      <c r="A179" t="s">
        <v>17</v>
      </c>
      <c r="B179">
        <v>3329</v>
      </c>
      <c r="C179">
        <v>103431</v>
      </c>
    </row>
    <row r="180" spans="1:3">
      <c r="A180" t="s">
        <v>380</v>
      </c>
      <c r="B180">
        <v>3330</v>
      </c>
      <c r="C180">
        <v>141815</v>
      </c>
    </row>
    <row r="181" spans="1:3">
      <c r="A181" t="s">
        <v>381</v>
      </c>
      <c r="B181">
        <v>3337</v>
      </c>
      <c r="C181">
        <v>148440</v>
      </c>
    </row>
    <row r="182" spans="1:3">
      <c r="A182" t="s">
        <v>18</v>
      </c>
      <c r="B182">
        <v>3406</v>
      </c>
      <c r="C182">
        <v>103476</v>
      </c>
    </row>
    <row r="183" spans="1:3">
      <c r="A183" t="s">
        <v>382</v>
      </c>
      <c r="B183">
        <v>2059</v>
      </c>
      <c r="C183">
        <v>138432</v>
      </c>
    </row>
    <row r="184" spans="1:3">
      <c r="A184" t="s">
        <v>383</v>
      </c>
      <c r="B184">
        <v>2154</v>
      </c>
      <c r="C184">
        <v>141669</v>
      </c>
    </row>
    <row r="185" spans="1:3">
      <c r="A185" t="s">
        <v>384</v>
      </c>
      <c r="B185">
        <v>4663</v>
      </c>
      <c r="C185">
        <v>147707</v>
      </c>
    </row>
    <row r="186" spans="1:3">
      <c r="A186" t="s">
        <v>385</v>
      </c>
      <c r="B186">
        <v>5205</v>
      </c>
      <c r="C186">
        <v>143434</v>
      </c>
    </row>
    <row r="187" spans="1:3">
      <c r="A187" t="s">
        <v>386</v>
      </c>
      <c r="B187">
        <v>2104</v>
      </c>
      <c r="C187">
        <v>139126</v>
      </c>
    </row>
    <row r="188" spans="1:3">
      <c r="A188" t="s">
        <v>387</v>
      </c>
      <c r="B188">
        <v>2120</v>
      </c>
      <c r="C188">
        <v>139267</v>
      </c>
    </row>
    <row r="189" spans="1:3">
      <c r="A189" t="s">
        <v>388</v>
      </c>
      <c r="B189">
        <v>3358</v>
      </c>
      <c r="C189">
        <v>141820</v>
      </c>
    </row>
    <row r="190" spans="1:3">
      <c r="A190" t="s">
        <v>389</v>
      </c>
      <c r="B190">
        <v>3360</v>
      </c>
      <c r="C190">
        <v>148266</v>
      </c>
    </row>
    <row r="191" spans="1:3">
      <c r="A191" t="s">
        <v>390</v>
      </c>
      <c r="B191">
        <v>2071</v>
      </c>
      <c r="C191">
        <v>138883</v>
      </c>
    </row>
    <row r="192" spans="1:3">
      <c r="A192" t="s">
        <v>391</v>
      </c>
      <c r="B192">
        <v>3306</v>
      </c>
      <c r="C192">
        <v>139173</v>
      </c>
    </row>
    <row r="193" spans="1:3">
      <c r="A193" t="s">
        <v>392</v>
      </c>
      <c r="B193">
        <v>2158</v>
      </c>
      <c r="C193">
        <v>141670</v>
      </c>
    </row>
    <row r="194" spans="1:3">
      <c r="A194" t="s">
        <v>393</v>
      </c>
      <c r="B194">
        <v>3339</v>
      </c>
      <c r="C194">
        <v>148441</v>
      </c>
    </row>
    <row r="195" spans="1:3">
      <c r="A195" t="s">
        <v>394</v>
      </c>
      <c r="B195">
        <v>3401</v>
      </c>
      <c r="C195">
        <v>140528</v>
      </c>
    </row>
    <row r="196" spans="1:3">
      <c r="A196" t="s">
        <v>395</v>
      </c>
      <c r="B196">
        <v>3383</v>
      </c>
      <c r="C196">
        <v>148973</v>
      </c>
    </row>
    <row r="197" spans="1:3">
      <c r="A197" t="s">
        <v>396</v>
      </c>
      <c r="B197">
        <v>3015</v>
      </c>
      <c r="C197">
        <v>139041</v>
      </c>
    </row>
    <row r="198" spans="1:3">
      <c r="A198" t="s">
        <v>397</v>
      </c>
      <c r="B198">
        <v>3311</v>
      </c>
      <c r="C198">
        <v>139174</v>
      </c>
    </row>
    <row r="199" spans="1:3">
      <c r="A199" t="s">
        <v>398</v>
      </c>
      <c r="B199">
        <v>2061</v>
      </c>
      <c r="C199">
        <v>138433</v>
      </c>
    </row>
    <row r="200" spans="1:3">
      <c r="A200" t="s">
        <v>399</v>
      </c>
      <c r="B200">
        <v>3403</v>
      </c>
      <c r="C200">
        <v>140529</v>
      </c>
    </row>
    <row r="201" spans="1:3">
      <c r="A201" t="s">
        <v>400</v>
      </c>
      <c r="B201">
        <v>3366</v>
      </c>
      <c r="C201">
        <v>141830</v>
      </c>
    </row>
    <row r="202" spans="1:3">
      <c r="A202" t="s">
        <v>152</v>
      </c>
      <c r="B202">
        <v>3385</v>
      </c>
      <c r="C202">
        <v>150849</v>
      </c>
    </row>
    <row r="203" spans="1:3">
      <c r="A203" t="s">
        <v>401</v>
      </c>
      <c r="B203">
        <v>4616</v>
      </c>
      <c r="C203">
        <v>141835</v>
      </c>
    </row>
    <row r="204" spans="1:3">
      <c r="A204" t="s">
        <v>402</v>
      </c>
      <c r="B204">
        <v>3314</v>
      </c>
      <c r="C204">
        <v>142375</v>
      </c>
    </row>
    <row r="205" spans="1:3">
      <c r="A205" t="s">
        <v>403</v>
      </c>
      <c r="B205">
        <v>2201</v>
      </c>
      <c r="C205">
        <v>147017</v>
      </c>
    </row>
    <row r="206" spans="1:3">
      <c r="A206" t="s">
        <v>21</v>
      </c>
      <c r="B206">
        <v>3310</v>
      </c>
      <c r="C206">
        <v>103417</v>
      </c>
    </row>
    <row r="207" spans="1:3">
      <c r="A207" t="s">
        <v>404</v>
      </c>
      <c r="B207">
        <v>3359</v>
      </c>
      <c r="C207">
        <v>148083</v>
      </c>
    </row>
    <row r="208" spans="1:3">
      <c r="A208" t="s">
        <v>405</v>
      </c>
      <c r="B208">
        <v>4045</v>
      </c>
      <c r="C208">
        <v>149155</v>
      </c>
    </row>
    <row r="209" spans="1:3">
      <c r="A209" t="s">
        <v>406</v>
      </c>
      <c r="B209">
        <v>4038</v>
      </c>
      <c r="C209">
        <v>147757</v>
      </c>
    </row>
    <row r="210" spans="1:3">
      <c r="A210" t="s">
        <v>407</v>
      </c>
      <c r="B210">
        <v>2188</v>
      </c>
      <c r="C210">
        <v>143433</v>
      </c>
    </row>
    <row r="211" spans="1:3">
      <c r="A211" t="s">
        <v>408</v>
      </c>
      <c r="B211">
        <v>4206</v>
      </c>
      <c r="C211">
        <v>138137</v>
      </c>
    </row>
    <row r="212" spans="1:3">
      <c r="A212" t="s">
        <v>153</v>
      </c>
      <c r="B212">
        <v>2097</v>
      </c>
      <c r="C212">
        <v>150876</v>
      </c>
    </row>
    <row r="213" spans="1:3">
      <c r="A213" t="s">
        <v>409</v>
      </c>
      <c r="B213">
        <v>2214</v>
      </c>
      <c r="C213">
        <v>150708</v>
      </c>
    </row>
    <row r="214" spans="1:3">
      <c r="A214" t="s">
        <v>410</v>
      </c>
      <c r="B214">
        <v>4300</v>
      </c>
      <c r="C214">
        <v>136778</v>
      </c>
    </row>
    <row r="215" spans="1:3">
      <c r="A215" t="s">
        <v>411</v>
      </c>
      <c r="B215">
        <v>2204</v>
      </c>
      <c r="C215">
        <v>147111</v>
      </c>
    </row>
    <row r="216" spans="1:3">
      <c r="A216" t="s">
        <v>148</v>
      </c>
      <c r="B216">
        <v>4237</v>
      </c>
      <c r="C216">
        <v>151403</v>
      </c>
    </row>
    <row r="217" spans="1:3">
      <c r="A217" t="s">
        <v>412</v>
      </c>
      <c r="B217">
        <v>2098</v>
      </c>
      <c r="C217">
        <v>139011</v>
      </c>
    </row>
    <row r="218" spans="1:3">
      <c r="A218" t="s">
        <v>413</v>
      </c>
      <c r="B218">
        <v>4307</v>
      </c>
      <c r="C218">
        <v>138136</v>
      </c>
    </row>
    <row r="219" spans="1:3">
      <c r="A219" t="s">
        <v>414</v>
      </c>
      <c r="B219">
        <v>7049</v>
      </c>
      <c r="C219">
        <v>144043</v>
      </c>
    </row>
    <row r="220" spans="1:3">
      <c r="A220" t="s">
        <v>415</v>
      </c>
      <c r="B220">
        <v>5201</v>
      </c>
      <c r="C220">
        <v>137155</v>
      </c>
    </row>
    <row r="221" spans="1:3">
      <c r="A221" t="s">
        <v>416</v>
      </c>
      <c r="B221">
        <v>1111</v>
      </c>
      <c r="C221">
        <v>142071</v>
      </c>
    </row>
    <row r="222" spans="1:3">
      <c r="A222" t="s">
        <v>22</v>
      </c>
      <c r="B222">
        <v>2246</v>
      </c>
      <c r="C222">
        <v>151709</v>
      </c>
    </row>
    <row r="223" spans="1:3">
      <c r="A223" t="s">
        <v>417</v>
      </c>
      <c r="B223">
        <v>2064</v>
      </c>
      <c r="C223">
        <v>139183</v>
      </c>
    </row>
    <row r="224" spans="1:3">
      <c r="A224" t="s">
        <v>418</v>
      </c>
      <c r="B224">
        <v>2018</v>
      </c>
      <c r="C224">
        <v>149872</v>
      </c>
    </row>
    <row r="225" spans="1:3">
      <c r="A225" t="s">
        <v>419</v>
      </c>
      <c r="B225">
        <v>2167</v>
      </c>
      <c r="C225">
        <v>142888</v>
      </c>
    </row>
    <row r="226" spans="1:3">
      <c r="A226" t="s">
        <v>420</v>
      </c>
      <c r="B226">
        <v>2205</v>
      </c>
      <c r="C226">
        <v>147452</v>
      </c>
    </row>
    <row r="227" spans="1:3">
      <c r="A227" t="s">
        <v>13</v>
      </c>
      <c r="B227">
        <v>3323</v>
      </c>
      <c r="C227">
        <v>103427</v>
      </c>
    </row>
    <row r="228" spans="1:3">
      <c r="A228" t="s">
        <v>421</v>
      </c>
      <c r="B228">
        <v>2249</v>
      </c>
      <c r="C228">
        <v>139860</v>
      </c>
    </row>
    <row r="229" spans="1:3">
      <c r="A229" t="s">
        <v>422</v>
      </c>
      <c r="B229">
        <v>2447</v>
      </c>
      <c r="C229">
        <v>143087</v>
      </c>
    </row>
    <row r="230" spans="1:3">
      <c r="A230" t="s">
        <v>423</v>
      </c>
      <c r="B230">
        <v>3325</v>
      </c>
      <c r="C230">
        <v>148439</v>
      </c>
    </row>
    <row r="231" spans="1:3">
      <c r="A231" t="s">
        <v>424</v>
      </c>
      <c r="B231">
        <v>4027</v>
      </c>
      <c r="C231">
        <v>144721</v>
      </c>
    </row>
    <row r="232" spans="1:3">
      <c r="A232" t="s">
        <v>425</v>
      </c>
      <c r="B232">
        <v>2058</v>
      </c>
      <c r="C232">
        <v>138425</v>
      </c>
    </row>
    <row r="233" spans="1:3">
      <c r="A233" t="s">
        <v>426</v>
      </c>
      <c r="B233">
        <v>4014</v>
      </c>
      <c r="C233">
        <v>140863</v>
      </c>
    </row>
    <row r="234" spans="1:3">
      <c r="A234" t="s">
        <v>427</v>
      </c>
      <c r="B234">
        <v>4024</v>
      </c>
      <c r="C234">
        <v>144306</v>
      </c>
    </row>
    <row r="235" spans="1:3">
      <c r="A235" t="s">
        <v>428</v>
      </c>
      <c r="B235">
        <v>2195</v>
      </c>
      <c r="C235">
        <v>138104</v>
      </c>
    </row>
    <row r="236" spans="1:3">
      <c r="A236" t="s">
        <v>429</v>
      </c>
      <c r="B236">
        <v>1112</v>
      </c>
      <c r="C236">
        <v>146731</v>
      </c>
    </row>
    <row r="237" spans="1:3">
      <c r="A237" t="s">
        <v>430</v>
      </c>
      <c r="B237">
        <v>1108</v>
      </c>
      <c r="C237">
        <v>139731</v>
      </c>
    </row>
    <row r="238" spans="1:3">
      <c r="A238" t="s">
        <v>431</v>
      </c>
      <c r="B238">
        <v>2126</v>
      </c>
      <c r="C238">
        <v>139439</v>
      </c>
    </row>
    <row r="239" spans="1:3">
      <c r="A239" t="s">
        <v>432</v>
      </c>
      <c r="B239">
        <v>2273</v>
      </c>
      <c r="C239">
        <v>143091</v>
      </c>
    </row>
    <row r="240" spans="1:3">
      <c r="A240" t="s">
        <v>433</v>
      </c>
      <c r="B240">
        <v>2145</v>
      </c>
      <c r="C240">
        <v>141206</v>
      </c>
    </row>
    <row r="241" spans="1:3">
      <c r="A241" t="s">
        <v>434</v>
      </c>
      <c r="B241">
        <v>4040</v>
      </c>
      <c r="C241">
        <v>148521</v>
      </c>
    </row>
    <row r="242" spans="1:3">
      <c r="A242" t="s">
        <v>435</v>
      </c>
      <c r="B242">
        <v>2175</v>
      </c>
      <c r="C242">
        <v>144390</v>
      </c>
    </row>
    <row r="243" spans="1:3">
      <c r="A243" t="s">
        <v>436</v>
      </c>
      <c r="B243">
        <v>2449</v>
      </c>
      <c r="C243">
        <v>140518</v>
      </c>
    </row>
    <row r="244" spans="1:3">
      <c r="A244" t="s">
        <v>437</v>
      </c>
      <c r="B244">
        <v>2068</v>
      </c>
      <c r="C244">
        <v>138303</v>
      </c>
    </row>
    <row r="245" spans="1:3">
      <c r="A245" t="s">
        <v>438</v>
      </c>
      <c r="B245">
        <v>4084</v>
      </c>
      <c r="C245">
        <v>139888</v>
      </c>
    </row>
    <row r="246" spans="1:3">
      <c r="A246" t="s">
        <v>439</v>
      </c>
      <c r="B246">
        <v>4009</v>
      </c>
      <c r="C246">
        <v>142219</v>
      </c>
    </row>
    <row r="247" spans="1:3">
      <c r="A247" t="s">
        <v>440</v>
      </c>
      <c r="B247">
        <v>4010</v>
      </c>
      <c r="C247">
        <v>139788</v>
      </c>
    </row>
    <row r="248" spans="1:3">
      <c r="A248" t="s">
        <v>441</v>
      </c>
      <c r="B248">
        <v>2471</v>
      </c>
      <c r="C248">
        <v>143943</v>
      </c>
    </row>
    <row r="249" spans="1:3">
      <c r="A249" t="s">
        <v>442</v>
      </c>
      <c r="B249">
        <v>7031</v>
      </c>
      <c r="C249">
        <v>138281</v>
      </c>
    </row>
    <row r="250" spans="1:3">
      <c r="A250" t="s">
        <v>443</v>
      </c>
      <c r="B250">
        <v>2136</v>
      </c>
      <c r="C250">
        <v>139637</v>
      </c>
    </row>
    <row r="251" spans="1:3">
      <c r="A251" t="s">
        <v>444</v>
      </c>
      <c r="B251">
        <v>2480</v>
      </c>
      <c r="C251">
        <v>142386</v>
      </c>
    </row>
    <row r="252" spans="1:3">
      <c r="A252" t="s">
        <v>445</v>
      </c>
      <c r="B252">
        <v>2146</v>
      </c>
      <c r="C252">
        <v>141319</v>
      </c>
    </row>
    <row r="253" spans="1:3">
      <c r="A253" t="s">
        <v>446</v>
      </c>
      <c r="B253">
        <v>4246</v>
      </c>
      <c r="C253">
        <v>139994</v>
      </c>
    </row>
    <row r="254" spans="1:3">
      <c r="A254" t="s">
        <v>447</v>
      </c>
      <c r="B254">
        <v>2122</v>
      </c>
      <c r="C254">
        <v>139378</v>
      </c>
    </row>
    <row r="255" spans="1:3">
      <c r="A255" t="s">
        <v>448</v>
      </c>
      <c r="B255">
        <v>2485</v>
      </c>
      <c r="C255">
        <v>146722</v>
      </c>
    </row>
    <row r="256" spans="1:3">
      <c r="A256" t="s">
        <v>449</v>
      </c>
      <c r="B256">
        <v>2180</v>
      </c>
      <c r="C256">
        <v>142858</v>
      </c>
    </row>
  </sheetData>
  <autoFilter ref="A2:C256" xr:uid="{0750CFC7-2873-4814-80E4-8A7B7B468BAA}"/>
  <phoneticPr fontId="94" type="noConversion"/>
  <pageMargins left="0.7" right="0.7" top="0.75" bottom="0.75" header="0.3" footer="0.3"/>
  <headerFooter>
    <oddFooter>&amp;C_x000D_&amp;1#&amp;"Calibri"&amp;10&amp;K000000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43D2-ED2A-404F-864C-9C05859B73A0}">
  <dimension ref="A1:C7"/>
  <sheetViews>
    <sheetView workbookViewId="0">
      <selection activeCell="C22" sqref="C22"/>
    </sheetView>
  </sheetViews>
  <sheetFormatPr defaultRowHeight="14.5"/>
  <cols>
    <col min="3" max="3" width="27.453125" bestFit="1" customWidth="1"/>
  </cols>
  <sheetData>
    <row r="1" spans="1:3">
      <c r="A1" s="272" t="s">
        <v>458</v>
      </c>
      <c r="B1" s="268"/>
      <c r="C1" s="268"/>
    </row>
    <row r="4" spans="1:3">
      <c r="A4">
        <v>3322</v>
      </c>
      <c r="B4">
        <v>151625</v>
      </c>
      <c r="C4" t="s">
        <v>12</v>
      </c>
    </row>
    <row r="5" spans="1:3">
      <c r="A5">
        <v>2246</v>
      </c>
      <c r="B5">
        <v>151709</v>
      </c>
      <c r="C5" t="s">
        <v>22</v>
      </c>
    </row>
    <row r="6" spans="1:3">
      <c r="A6">
        <v>2223</v>
      </c>
      <c r="B6">
        <v>151212</v>
      </c>
      <c r="C6" t="s">
        <v>10</v>
      </c>
    </row>
    <row r="7" spans="1:3">
      <c r="A7">
        <v>2236</v>
      </c>
      <c r="B7">
        <v>151402</v>
      </c>
      <c r="C7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9011b-86f1-4b85-8468-bde8c49fc6b6">
      <Terms xmlns="http://schemas.microsoft.com/office/infopath/2007/PartnerControls"/>
    </lcf76f155ced4ddcb4097134ff3c332f>
    <TaxCatchAll xmlns="db86872e-852c-4ba3-99d1-10e4e07672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E088D61435D429F53A8D9D38B3C75" ma:contentTypeVersion="16" ma:contentTypeDescription="Create a new document." ma:contentTypeScope="" ma:versionID="a37939fde10610e8f07fd9d9fae39ac9">
  <xsd:schema xmlns:xsd="http://www.w3.org/2001/XMLSchema" xmlns:xs="http://www.w3.org/2001/XMLSchema" xmlns:p="http://schemas.microsoft.com/office/2006/metadata/properties" xmlns:ns2="1ce9011b-86f1-4b85-8468-bde8c49fc6b6" xmlns:ns3="db86872e-852c-4ba3-99d1-10e4e0767240" targetNamespace="http://schemas.microsoft.com/office/2006/metadata/properties" ma:root="true" ma:fieldsID="6914716d72900a96a8622dc25cdd134a" ns2:_="" ns3:_="">
    <xsd:import namespace="1ce9011b-86f1-4b85-8468-bde8c49fc6b6"/>
    <xsd:import namespace="db86872e-852c-4ba3-99d1-10e4e0767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9011b-86f1-4b85-8468-bde8c49fc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eb6393-bae5-439c-9df7-ed1047f92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6872e-852c-4ba3-99d1-10e4e0767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0b6b83-76f1-4f83-84ac-1b0750170f81}" ma:internalName="TaxCatchAll" ma:showField="CatchAllData" ma:web="db86872e-852c-4ba3-99d1-10e4e0767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208F7-8C11-4951-BB85-466BA6BD88E0}">
  <ds:schemaRefs>
    <ds:schemaRef ds:uri="http://schemas.microsoft.com/office/2006/metadata/properties"/>
    <ds:schemaRef ds:uri="http://schemas.microsoft.com/office/infopath/2007/PartnerControls"/>
    <ds:schemaRef ds:uri="1ce9011b-86f1-4b85-8468-bde8c49fc6b6"/>
    <ds:schemaRef ds:uri="db86872e-852c-4ba3-99d1-10e4e0767240"/>
  </ds:schemaRefs>
</ds:datastoreItem>
</file>

<file path=customXml/itemProps2.xml><?xml version="1.0" encoding="utf-8"?>
<ds:datastoreItem xmlns:ds="http://schemas.openxmlformats.org/officeDocument/2006/customXml" ds:itemID="{9F8065D7-3B54-4C57-B09C-8B7B4E7B4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9011b-86f1-4b85-8468-bde8c49fc6b6"/>
    <ds:schemaRef ds:uri="db86872e-852c-4ba3-99d1-10e4e0767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EB0B6-1A5E-45F2-A605-B2C0D3E4F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Calculator</vt:lpstr>
      <vt:lpstr>OtherDSG</vt:lpstr>
      <vt:lpstr>Grants</vt:lpstr>
      <vt:lpstr>EY</vt:lpstr>
      <vt:lpstr>Other Adjustments</vt:lpstr>
      <vt:lpstr>HN</vt:lpstr>
      <vt:lpstr>Lookup</vt:lpstr>
      <vt:lpstr>Academy Conversions</vt:lpstr>
      <vt:lpstr>Calculator!Print_Area</vt:lpstr>
    </vt:vector>
  </TitlesOfParts>
  <Manager/>
  <Company>London Borough of Redbridge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Sheets October 2025 Academy</dc:title>
  <dc:subject/>
  <dc:creator>Melissa Williamson</dc:creator>
  <cp:keywords/>
  <dc:description/>
  <cp:lastModifiedBy>Blessed Ephraim</cp:lastModifiedBy>
  <cp:revision/>
  <dcterms:created xsi:type="dcterms:W3CDTF">2017-03-31T08:18:11Z</dcterms:created>
  <dcterms:modified xsi:type="dcterms:W3CDTF">2025-12-03T19:29:05Z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0x010100718E088D61435D429F53A8D9D38B3C75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17471b1-27ab-4640-9264-e69a67407ca3_Enabled">
    <vt:lpwstr>true</vt:lpwstr>
  </property>
  <property fmtid="{D5CDD505-2E9C-101B-9397-08002B2CF9AE}" pid="7" name="MSIP_Label_a17471b1-27ab-4640-9264-e69a67407ca3_SetDate">
    <vt:lpwstr>2024-05-24T10:54:52Z</vt:lpwstr>
  </property>
  <property fmtid="{D5CDD505-2E9C-101B-9397-08002B2CF9AE}" pid="8" name="MSIP_Label_a17471b1-27ab-4640-9264-e69a67407ca3_Method">
    <vt:lpwstr>Standard</vt:lpwstr>
  </property>
  <property fmtid="{D5CDD505-2E9C-101B-9397-08002B2CF9AE}" pid="9" name="MSIP_Label_a17471b1-27ab-4640-9264-e69a67407ca3_Name">
    <vt:lpwstr>BCC - OFFICIAL</vt:lpwstr>
  </property>
  <property fmtid="{D5CDD505-2E9C-101B-9397-08002B2CF9AE}" pid="10" name="MSIP_Label_a17471b1-27ab-4640-9264-e69a67407ca3_SiteId">
    <vt:lpwstr>699ace67-d2e4-4bcd-b303-d2bbe2b9bbf1</vt:lpwstr>
  </property>
  <property fmtid="{D5CDD505-2E9C-101B-9397-08002B2CF9AE}" pid="11" name="MSIP_Label_a17471b1-27ab-4640-9264-e69a67407ca3_ActionId">
    <vt:lpwstr>d69e5e4a-f524-4583-8dd9-b967dc4ea78d</vt:lpwstr>
  </property>
  <property fmtid="{D5CDD505-2E9C-101B-9397-08002B2CF9AE}" pid="12" name="MSIP_Label_a17471b1-27ab-4640-9264-e69a67407ca3_ContentBits">
    <vt:lpwstr>2</vt:lpwstr>
  </property>
  <property fmtid="{D5CDD505-2E9C-101B-9397-08002B2CF9AE}" pid="13" name="MediaServiceImageTags">
    <vt:lpwstr/>
  </property>
  <property fmtid="{D5CDD505-2E9C-101B-9397-08002B2CF9AE}" pid="14" name="CloudStatistics_StoryID">
    <vt:lpwstr>1ab04ef2-709f-4396-90fd-26e34b75f0d3</vt:lpwstr>
  </property>
</Properties>
</file>