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birminghamcitycouncil-my.sharepoint.com/personal/carron_farnell_birmingham_gov_uk1/Documents/Desktop/"/>
    </mc:Choice>
  </mc:AlternateContent>
  <xr:revisionPtr revIDLastSave="273" documentId="8_{33760064-508E-4FFD-B21E-75F84F3DFC96}" xr6:coauthVersionLast="47" xr6:coauthVersionMax="47" xr10:uidLastSave="{505A87E3-A94F-44AD-91F6-19B168F3359B}"/>
  <bookViews>
    <workbookView xWindow="-110" yWindow="-110" windowWidth="19420" windowHeight="10420" tabRatio="887" firstSheet="8" activeTab="11" xr2:uid="{00000000-000D-0000-FFFF-FFFF00000000}"/>
  </bookViews>
  <sheets>
    <sheet name="Outturn 2023-24 BY BCC FINAL" sheetId="13" state="hidden" r:id="rId1"/>
    <sheet name="Lookup" sheetId="11" state="hidden" r:id="rId2"/>
    <sheet name="Read this first" sheetId="24" r:id="rId3"/>
    <sheet name="GLOSSARY" sheetId="29" r:id="rId4"/>
    <sheet name="Summary" sheetId="10" r:id="rId5"/>
    <sheet name="Narrative" sheetId="20" r:id="rId6"/>
    <sheet name="Project Group Actions " sheetId="26" r:id="rId7"/>
    <sheet name="Budget Plan" sheetId="1" r:id="rId8"/>
    <sheet name="PAN - NOR" sheetId="15" r:id="rId9"/>
    <sheet name="Establishment" sheetId="2" r:id="rId10"/>
    <sheet name="Current Organisation - Example" sheetId="21" r:id="rId11"/>
    <sheet name="Re Org inc Costs - Example" sheetId="22" r:id="rId12"/>
    <sheet name="Redundancy" sheetId="3" r:id="rId13"/>
    <sheet name="Pension Strain" sheetId="14" r:id="rId14"/>
    <sheet name="EHCP Pupil and Resources" sheetId="23" r:id="rId15"/>
    <sheet name="Contracts" sheetId="4" r:id="rId16"/>
    <sheet name="Guidance Notes (PTR)" sheetId="18" r:id="rId17"/>
    <sheet name="PTR, Contact Ratio" sheetId="17" r:id="rId18"/>
    <sheet name="Benchmarking Staffing " sheetId="25" r:id="rId19"/>
    <sheet name="Benchmarking Premises" sheetId="27" r:id="rId20"/>
    <sheet name="Benchmarking Non Staff" sheetId="28" r:id="rId21"/>
    <sheet name="Minutes of Meeting" sheetId="16" r:id="rId22"/>
  </sheets>
  <externalReferences>
    <externalReference r:id="rId23"/>
    <externalReference r:id="rId24"/>
  </externalReferences>
  <definedNames>
    <definedName name="_xlnm._FilterDatabase" localSheetId="10" hidden="1">'Current Organisation - Example'!#REF!</definedName>
    <definedName name="_xlnm._FilterDatabase" localSheetId="1" hidden="1">Lookup!$B$2:$Q$211</definedName>
    <definedName name="_xlnm._FilterDatabase" localSheetId="0" hidden="1">'Outturn 2023-24 BY BCC FINAL'!$A$8:$EL$224</definedName>
    <definedName name="aaa" localSheetId="0">#REF!</definedName>
    <definedName name="aaa">#REF!</definedName>
    <definedName name="abcde">#REF!</definedName>
    <definedName name="Accrualsrevised" localSheetId="0">#REF!</definedName>
    <definedName name="Accrualsrevised">#REF!</definedName>
    <definedName name="Adjustment" localSheetId="0">#REF!</definedName>
    <definedName name="Adjustment">#REF!</definedName>
    <definedName name="Adjustments_To_1415_SBS" localSheetId="0">#REF!</definedName>
    <definedName name="Adjustments_To_1415_SBS">#REF!</definedName>
    <definedName name="Adjustments_To_1516_SBS" localSheetId="0">#REF!</definedName>
    <definedName name="Adjustments_To_1516_SBS">#REF!</definedName>
    <definedName name="Adjustments_To_PY_SBS" localSheetId="0">#REF!</definedName>
    <definedName name="Adjustments_To_PY_SBS">#REF!</definedName>
    <definedName name="agrclient">#REF!</definedName>
    <definedName name="All_dist_taper">#REF!</definedName>
    <definedName name="All_distance_threshold" localSheetId="0">#REF!</definedName>
    <definedName name="All_distance_threshold">#REF!</definedName>
    <definedName name="All_PupilNo_threshold" localSheetId="0">#REF!</definedName>
    <definedName name="All_PupilNo_threshold">#REF!</definedName>
    <definedName name="Alt_Gains_Cap" localSheetId="0">#REF!</definedName>
    <definedName name="Alt_Gains_Cap">#REF!</definedName>
    <definedName name="anteprevious_year">#REF!</definedName>
    <definedName name="APRIL" localSheetId="0">#REF!</definedName>
    <definedName name="APRIL">#REF!</definedName>
    <definedName name="AUGUST" localSheetId="0">#REF!</definedName>
    <definedName name="AUGUST">#REF!</definedName>
    <definedName name="AWPU_KS3_Rate" localSheetId="0">#REF!</definedName>
    <definedName name="AWPU_KS3_Rate">#REF!</definedName>
    <definedName name="AWPU_KS4_Rate" localSheetId="0">#REF!</definedName>
    <definedName name="AWPU_KS4_Rate">#REF!</definedName>
    <definedName name="AWPU_Pri_Rate" localSheetId="0">#REF!</definedName>
    <definedName name="AWPU_Pri_Rate">#REF!</definedName>
    <definedName name="AWPU_Primary_DD_rate" localSheetId="0">#REF!</definedName>
    <definedName name="AWPU_Primary_DD_rate">#REF!</definedName>
    <definedName name="AWPU_Sec_DD_rate" localSheetId="0">#REF!</definedName>
    <definedName name="AWPU_Sec_DD_rate">#REF!</definedName>
    <definedName name="BalanceSheet" localSheetId="0">#REF!</definedName>
    <definedName name="BalanceSheet">#REF!</definedName>
    <definedName name="BANK" localSheetId="0">#REF!</definedName>
    <definedName name="BANK">#REF!</definedName>
    <definedName name="BlockTransfersDSGSchoolsBlock">#REF!</definedName>
    <definedName name="BUDGET" localSheetId="0">#REF!</definedName>
    <definedName name="BUDGET">#REF!</definedName>
    <definedName name="BUDGET94" localSheetId="0">#REF!</definedName>
    <definedName name="BUDGET94">#REF!</definedName>
    <definedName name="Capping_Scaling_YesNo" localSheetId="0">#REF!</definedName>
    <definedName name="Capping_Scaling_YesNo">#REF!</definedName>
    <definedName name="Ceiling" localSheetId="0">#REF!</definedName>
    <definedName name="Ceiling">#REF!</definedName>
    <definedName name="column" localSheetId="0">#REF!</definedName>
    <definedName name="column">#REF!</definedName>
    <definedName name="CommentaryAdditionalFundingFromHN">#REF!</definedName>
    <definedName name="CommentaryFallingRollsFund">#REF!</definedName>
    <definedName name="CommentaryGrowth">#REF!</definedName>
    <definedName name="CommentaryPFI">#REF!</definedName>
    <definedName name="CostCentre" localSheetId="0">#REF!</definedName>
    <definedName name="CostCentre">#REF!</definedName>
    <definedName name="current_year">#REF!</definedName>
    <definedName name="current_year_full">#REF!</definedName>
    <definedName name="CY_MFG_Exclusion_Totals">#REF!</definedName>
    <definedName name="DECEMBER" localSheetId="0">#REF!</definedName>
    <definedName name="DECEMBER">#REF!</definedName>
    <definedName name="dsource">#REF!</definedName>
    <definedName name="EAL_Pri" localSheetId="0">#REF!</definedName>
    <definedName name="EAL_Pri">#REF!</definedName>
    <definedName name="EAL_Pri_DD_rate" localSheetId="0">#REF!</definedName>
    <definedName name="EAL_Pri_DD_rate">#REF!</definedName>
    <definedName name="EAL_Pri_Option" localSheetId="0">#REF!</definedName>
    <definedName name="EAL_Pri_Option">#REF!</definedName>
    <definedName name="EAL_Sec" localSheetId="0">#REF!</definedName>
    <definedName name="EAL_Sec">#REF!</definedName>
    <definedName name="EAL_Sec_DD_rate" localSheetId="0">#REF!</definedName>
    <definedName name="EAL_Sec_DD_rate">#REF!</definedName>
    <definedName name="EAL_Sec_Option" localSheetId="0">#REF!</definedName>
    <definedName name="EAL_Sec_Option">#REF!</definedName>
    <definedName name="EarlyYears" localSheetId="0">#REF!</definedName>
    <definedName name="EarlyYears">#REF!</definedName>
    <definedName name="Ever6_Pri_DD_Rate" localSheetId="0">#REF!</definedName>
    <definedName name="Ever6_Pri_DD_Rate">#REF!</definedName>
    <definedName name="Ever6_pri_rate" localSheetId="0">#REF!</definedName>
    <definedName name="Ever6_pri_rate">#REF!</definedName>
    <definedName name="Ever6_Sec_DD_Rate" localSheetId="0">#REF!</definedName>
    <definedName name="Ever6_Sec_DD_Rate">#REF!</definedName>
    <definedName name="Ever6_sec_rate" localSheetId="0">#REF!</definedName>
    <definedName name="Ever6_sec_rate">#REF!</definedName>
    <definedName name="Exc_Cir1_Total" localSheetId="0">#REF!</definedName>
    <definedName name="Exc_Cir1_Total">#REF!</definedName>
    <definedName name="Exc_Cir2_Total" localSheetId="0">#REF!</definedName>
    <definedName name="Exc_Cir2_Total">#REF!</definedName>
    <definedName name="Exc_Cir3_Total" localSheetId="0">#REF!</definedName>
    <definedName name="Exc_Cir3_Total">#REF!</definedName>
    <definedName name="Exc_Cir4_Total" localSheetId="0">#REF!</definedName>
    <definedName name="Exc_Cir4_Total">#REF!</definedName>
    <definedName name="Exc_Cir5_Total" localSheetId="0">#REF!</definedName>
    <definedName name="Exc_Cir5_Total">#REF!</definedName>
    <definedName name="Exc_Cir6_Total" localSheetId="0">#REF!</definedName>
    <definedName name="Exc_Cir6_Total">#REF!</definedName>
    <definedName name="Exc_Cir7_Total" localSheetId="0">#REF!</definedName>
    <definedName name="Exc_Cir7_Total">#REF!</definedName>
    <definedName name="Excel_BuiltIn__FilterDatabase_3">"['Maintained Schools'.$A$1:.$H$11636]"</definedName>
    <definedName name="Excel_BuiltIn__FilterDatabase_4">"[Academies.$A$1:.$H$6222]"</definedName>
    <definedName name="Excel_BuiltIn__FilterDatabase_5">"[NMSS.$A$1:.$H$56]"</definedName>
    <definedName name="FEBRUARY" localSheetId="0">#REF!</definedName>
    <definedName name="FEBRUARY">#REF!</definedName>
    <definedName name="File_Name" localSheetId="0">#REF!</definedName>
    <definedName name="File_Name">#REF!</definedName>
    <definedName name="File_Type" localSheetId="0">#REF!</definedName>
    <definedName name="File_Type">#REF!</definedName>
    <definedName name="Fringe_multiplier">#REF!</definedName>
    <definedName name="Fringe_Total" localSheetId="0">#REF!</definedName>
    <definedName name="Fringe_Total">#REF!</definedName>
    <definedName name="FSM_Pri_DD_rate" localSheetId="0">#REF!</definedName>
    <definedName name="FSM_Pri_DD_rate">#REF!</definedName>
    <definedName name="FSM_Pri_Option" localSheetId="0">#REF!</definedName>
    <definedName name="FSM_Pri_Option">#REF!</definedName>
    <definedName name="FSM_Pri_Rate" localSheetId="0">#REF!</definedName>
    <definedName name="FSM_Pri_Rate">#REF!</definedName>
    <definedName name="FSM_Pri_Rate_2" localSheetId="0">#REF!</definedName>
    <definedName name="FSM_Pri_Rate_2">#REF!</definedName>
    <definedName name="FSM_Sec_DD_rate" localSheetId="0">#REF!</definedName>
    <definedName name="FSM_Sec_DD_rate">#REF!</definedName>
    <definedName name="FSM_Sec_Option" localSheetId="0">#REF!</definedName>
    <definedName name="FSM_Sec_Option">#REF!</definedName>
    <definedName name="FSM_Sec_Rate" localSheetId="0">#REF!</definedName>
    <definedName name="FSM_Sec_Rate">#REF!</definedName>
    <definedName name="Funding_Floor" localSheetId="0">#REF!</definedName>
    <definedName name="Funding_Floor">#REF!</definedName>
    <definedName name="Funding_Floor_Adjustment" localSheetId="0">#REF!</definedName>
    <definedName name="Funding_Floor_Adjustment">#REF!</definedName>
    <definedName name="gfd" localSheetId="0">#REF!</definedName>
    <definedName name="gfd">#REF!</definedName>
    <definedName name="glpage1" localSheetId="0">#REF!</definedName>
    <definedName name="glpage1">#REF!</definedName>
    <definedName name="glpage2" localSheetId="0">#REF!</definedName>
    <definedName name="glpage2">#REF!</definedName>
    <definedName name="glsum" localSheetId="0">#REF!</definedName>
    <definedName name="glsum">#REF!</definedName>
    <definedName name="growthfunding" localSheetId="0">#REF!</definedName>
    <definedName name="growthfunding">#REF!</definedName>
    <definedName name="IA_amalgamation">#REF!</definedName>
    <definedName name="IA_closed_preApril">#REF!</definedName>
    <definedName name="IA_conversion">#REF!</definedName>
    <definedName name="IA_new_free_school">#REF!</definedName>
    <definedName name="IA_NOR_change">#REF!</definedName>
    <definedName name="IA_open_postApril">#REF!</definedName>
    <definedName name="IA_open_preApril">#REF!</definedName>
    <definedName name="IDACI_B1_Pri" localSheetId="0">#REF!</definedName>
    <definedName name="IDACI_B1_Pri">#REF!</definedName>
    <definedName name="IDACI_B1_Pri_DD_rate" localSheetId="0">#REF!</definedName>
    <definedName name="IDACI_B1_Pri_DD_rate">#REF!</definedName>
    <definedName name="IDACI_B1_Sec" localSheetId="0">#REF!</definedName>
    <definedName name="IDACI_B1_Sec">#REF!</definedName>
    <definedName name="IDACI_B1_Sec_DD_rate" localSheetId="0">#REF!</definedName>
    <definedName name="IDACI_B1_Sec_DD_rate">#REF!</definedName>
    <definedName name="IDACI_B2_Pri" localSheetId="0">#REF!</definedName>
    <definedName name="IDACI_B2_Pri">#REF!</definedName>
    <definedName name="IDACI_B2_Pri_DD_rate" localSheetId="0">#REF!</definedName>
    <definedName name="IDACI_B2_Pri_DD_rate">#REF!</definedName>
    <definedName name="IDACI_B2_Sec" localSheetId="0">#REF!</definedName>
    <definedName name="IDACI_B2_Sec">#REF!</definedName>
    <definedName name="IDACI_B2_Sec_DD_rate" localSheetId="0">#REF!</definedName>
    <definedName name="IDACI_B2_Sec_DD_rate">#REF!</definedName>
    <definedName name="IDACI_B3_Pri" localSheetId="0">#REF!</definedName>
    <definedName name="IDACI_B3_Pri">#REF!</definedName>
    <definedName name="IDACI_B3_Pri_DD_rate" localSheetId="0">#REF!</definedName>
    <definedName name="IDACI_B3_Pri_DD_rate">#REF!</definedName>
    <definedName name="IDACI_B3_Sec" localSheetId="0">#REF!</definedName>
    <definedName name="IDACI_B3_Sec">#REF!</definedName>
    <definedName name="IDACI_B3_Sec_DD_rate" localSheetId="0">#REF!</definedName>
    <definedName name="IDACI_B3_Sec_DD_rate">#REF!</definedName>
    <definedName name="IDACI_B4_Pri" localSheetId="0">#REF!</definedName>
    <definedName name="IDACI_B4_Pri">#REF!</definedName>
    <definedName name="IDACI_B4_Pri_DD_rate" localSheetId="0">#REF!</definedName>
    <definedName name="IDACI_B4_Pri_DD_rate">#REF!</definedName>
    <definedName name="IDACI_B4_Sec" localSheetId="0">#REF!</definedName>
    <definedName name="IDACI_B4_Sec">#REF!</definedName>
    <definedName name="IDACI_B4_Sec_DD_rate" localSheetId="0">#REF!</definedName>
    <definedName name="IDACI_B4_Sec_DD_rate">#REF!</definedName>
    <definedName name="IDACI_B5_Pri" localSheetId="0">#REF!</definedName>
    <definedName name="IDACI_B5_Pri">#REF!</definedName>
    <definedName name="IDACI_B5_Pri_DD_rate" localSheetId="0">#REF!</definedName>
    <definedName name="IDACI_B5_Pri_DD_rate">#REF!</definedName>
    <definedName name="IDACI_B5_Sec" localSheetId="0">#REF!</definedName>
    <definedName name="IDACI_B5_Sec">#REF!</definedName>
    <definedName name="IDACI_B5_Sec_DD_rate" localSheetId="0">#REF!</definedName>
    <definedName name="IDACI_B5_Sec_DD_rate">#REF!</definedName>
    <definedName name="IDACI_B6_Pri" localSheetId="0">#REF!</definedName>
    <definedName name="IDACI_B6_Pri">#REF!</definedName>
    <definedName name="IDACI_B6_Pri_DD_rate" localSheetId="0">#REF!</definedName>
    <definedName name="IDACI_B6_Pri_DD_rate">#REF!</definedName>
    <definedName name="IDACI_B6_Sec" localSheetId="0">#REF!</definedName>
    <definedName name="IDACI_B6_Sec">#REF!</definedName>
    <definedName name="IDACI_B6_Sec_DD_rate" localSheetId="0">#REF!</definedName>
    <definedName name="IDACI_B6_Sec_DD_rate">#REF!</definedName>
    <definedName name="INCOME" localSheetId="0">#REF!</definedName>
    <definedName name="INCOME">#REF!</definedName>
    <definedName name="INCOME94" localSheetId="0">#REF!</definedName>
    <definedName name="INCOME94">#REF!</definedName>
    <definedName name="JANUARY" localSheetId="0">#REF!</definedName>
    <definedName name="JANUARY">#REF!</definedName>
    <definedName name="JULY" localSheetId="0">#REF!</definedName>
    <definedName name="JULY">#REF!</definedName>
    <definedName name="JUNE" localSheetId="0">#REF!</definedName>
    <definedName name="JUNE">#REF!</definedName>
    <definedName name="LA_Code">#REF!</definedName>
    <definedName name="LA_Name">#REF!</definedName>
    <definedName name="LAC_Pri_DD_rate" localSheetId="0">#REF!</definedName>
    <definedName name="LAC_Pri_DD_rate">#REF!</definedName>
    <definedName name="LAC_Rate" localSheetId="0">#REF!</definedName>
    <definedName name="LAC_Rate">#REF!</definedName>
    <definedName name="LAC_Sec_DD_rate" localSheetId="0">#REF!</definedName>
    <definedName name="LAC_Sec_DD_rate">#REF!</definedName>
    <definedName name="LCHI_Pri" localSheetId="0">#REF!</definedName>
    <definedName name="LCHI_Pri">#REF!</definedName>
    <definedName name="LCHI_Pri_DD_rate" localSheetId="0">#REF!</definedName>
    <definedName name="LCHI_Pri_DD_rate">#REF!</definedName>
    <definedName name="LCHI_Pri_Option" localSheetId="0">#REF!</definedName>
    <definedName name="LCHI_Pri_Option">#REF!</definedName>
    <definedName name="LCHI_Sec" localSheetId="0">#REF!</definedName>
    <definedName name="LCHI_Sec">#REF!</definedName>
    <definedName name="LCHI_Sec_DD_rate" localSheetId="0">#REF!</definedName>
    <definedName name="LCHI_Sec_DD_rate">#REF!</definedName>
    <definedName name="Lump_sum_Pri_DD_rate" localSheetId="0">#REF!</definedName>
    <definedName name="Lump_sum_Pri_DD_rate">#REF!</definedName>
    <definedName name="Lump_sum_Sec_DD_rate" localSheetId="0">#REF!</definedName>
    <definedName name="Lump_sum_Sec_DD_rate">#REF!</definedName>
    <definedName name="Lump_Sum_total" localSheetId="0">#REF!</definedName>
    <definedName name="Lump_Sum_total">#REF!</definedName>
    <definedName name="MARCH" localSheetId="0">#REF!</definedName>
    <definedName name="MARCH">#REF!</definedName>
    <definedName name="MAY" localSheetId="0">#REF!</definedName>
    <definedName name="MAY">#REF!</definedName>
    <definedName name="MFG_Rate" localSheetId="0">#REF!</definedName>
    <definedName name="MFG_Rate">#REF!</definedName>
    <definedName name="MFG_Total" localSheetId="0">#REF!</definedName>
    <definedName name="MFG_Total">#REF!</definedName>
    <definedName name="Mid_dist_taper">#REF!</definedName>
    <definedName name="Mid_distance_threshold" localSheetId="0">#REF!</definedName>
    <definedName name="Mid_distance_threshold">#REF!</definedName>
    <definedName name="Mid_PupilNo_threshold" localSheetId="0">#REF!</definedName>
    <definedName name="Mid_PupilNo_threshold">#REF!</definedName>
    <definedName name="min_pupil_rate_KS3" localSheetId="0">#REF!</definedName>
    <definedName name="min_pupil_rate_KS3">#REF!</definedName>
    <definedName name="min_pupil_rate_KS4" localSheetId="0">#REF!</definedName>
    <definedName name="min_pupil_rate_KS4">#REF!</definedName>
    <definedName name="min_pupil_rate_pri" localSheetId="0">#REF!</definedName>
    <definedName name="min_pupil_rate_pri">#REF!</definedName>
    <definedName name="min_pupil_rate_sec" localSheetId="0">#REF!</definedName>
    <definedName name="min_pupil_rate_sec">#REF!</definedName>
    <definedName name="Mobility_Pri" localSheetId="0">#REF!</definedName>
    <definedName name="Mobility_Pri">#REF!</definedName>
    <definedName name="Mobility_Pri_DD_Rate" localSheetId="0">#REF!</definedName>
    <definedName name="Mobility_Pri_DD_Rate">#REF!</definedName>
    <definedName name="Mobility_Sec" localSheetId="0">#REF!</definedName>
    <definedName name="Mobility_Sec">#REF!</definedName>
    <definedName name="Mobility_Sec_DD_Rate" localSheetId="0">#REF!</definedName>
    <definedName name="Mobility_Sec_DD_Rate">#REF!</definedName>
    <definedName name="mppf_pri" localSheetId="0">#REF!</definedName>
    <definedName name="mppf_pri">#REF!</definedName>
    <definedName name="mppf_sec" localSheetId="0">#REF!</definedName>
    <definedName name="mppf_sec">#REF!</definedName>
    <definedName name="Notional_SEN_AWPU_KS3" localSheetId="0">#REF!</definedName>
    <definedName name="Notional_SEN_AWPU_KS3">#REF!</definedName>
    <definedName name="Notional_SEN_AWPU_KS4" localSheetId="0">#REF!</definedName>
    <definedName name="Notional_SEN_AWPU_KS4">#REF!</definedName>
    <definedName name="Notional_SEN_AWPU_Pri" localSheetId="0">#REF!</definedName>
    <definedName name="Notional_SEN_AWPU_Pri">#REF!</definedName>
    <definedName name="Notional_SEN_EAL_Pri" localSheetId="0">#REF!</definedName>
    <definedName name="Notional_SEN_EAL_Pri">#REF!</definedName>
    <definedName name="Notional_SEN_EAL_Sec" localSheetId="0">#REF!</definedName>
    <definedName name="Notional_SEN_EAL_Sec">#REF!</definedName>
    <definedName name="Notional_SEN_Ever6_Pri" localSheetId="0">#REF!</definedName>
    <definedName name="Notional_SEN_Ever6_Pri">#REF!</definedName>
    <definedName name="Notional_SEN_Ever6_Sec" localSheetId="0">#REF!</definedName>
    <definedName name="Notional_SEN_Ever6_Sec">#REF!</definedName>
    <definedName name="Notional_SEN_ExCir2" localSheetId="0">#REF!</definedName>
    <definedName name="Notional_SEN_ExCir2">#REF!</definedName>
    <definedName name="Notional_SEN_ExCir3" localSheetId="0">#REF!</definedName>
    <definedName name="Notional_SEN_ExCir3">#REF!</definedName>
    <definedName name="Notional_SEN_ExCir4" localSheetId="0">#REF!</definedName>
    <definedName name="Notional_SEN_ExCir4">#REF!</definedName>
    <definedName name="Notional_SEN_ExCir5" localSheetId="0">#REF!</definedName>
    <definedName name="Notional_SEN_ExCir5">#REF!</definedName>
    <definedName name="Notional_SEN_ExCir6" localSheetId="0">#REF!</definedName>
    <definedName name="Notional_SEN_ExCir6">#REF!</definedName>
    <definedName name="Notional_SEN_ExCir7" localSheetId="0">#REF!</definedName>
    <definedName name="Notional_SEN_ExCir7">#REF!</definedName>
    <definedName name="Notional_SEN_FF" localSheetId="0">#REF!</definedName>
    <definedName name="Notional_SEN_FF">#REF!</definedName>
    <definedName name="Notional_SEN_FSM_Pri" localSheetId="0">#REF!</definedName>
    <definedName name="Notional_SEN_FSM_Pri">#REF!</definedName>
    <definedName name="Notional_SEN_FSM_Sec" localSheetId="0">#REF!</definedName>
    <definedName name="Notional_SEN_FSM_Sec">#REF!</definedName>
    <definedName name="Notional_SEN_IDACI_B1_Pri" localSheetId="0">#REF!</definedName>
    <definedName name="Notional_SEN_IDACI_B1_Pri">#REF!</definedName>
    <definedName name="Notional_SEN_IDACI_B1_Sec" localSheetId="0">#REF!</definedName>
    <definedName name="Notional_SEN_IDACI_B1_Sec">#REF!</definedName>
    <definedName name="Notional_SEN_IDACI_B2_Pri" localSheetId="0">#REF!</definedName>
    <definedName name="Notional_SEN_IDACI_B2_Pri">#REF!</definedName>
    <definedName name="Notional_SEN_IDACI_B2_Sec" localSheetId="0">#REF!</definedName>
    <definedName name="Notional_SEN_IDACI_B2_Sec">#REF!</definedName>
    <definedName name="Notional_SEN_IDACI_B3_Pri" localSheetId="0">#REF!</definedName>
    <definedName name="Notional_SEN_IDACI_B3_Pri">#REF!</definedName>
    <definedName name="Notional_SEN_IDACI_B3_Sec" localSheetId="0">#REF!</definedName>
    <definedName name="Notional_SEN_IDACI_B3_Sec">#REF!</definedName>
    <definedName name="Notional_SEN_IDACI_B4_Pri" localSheetId="0">#REF!</definedName>
    <definedName name="Notional_SEN_IDACI_B4_Pri">#REF!</definedName>
    <definedName name="Notional_SEN_IDACI_B4_Sec" localSheetId="0">#REF!</definedName>
    <definedName name="Notional_SEN_IDACI_B4_Sec">#REF!</definedName>
    <definedName name="Notional_SEN_IDACI_B5_Pri" localSheetId="0">#REF!</definedName>
    <definedName name="Notional_SEN_IDACI_B5_Pri">#REF!</definedName>
    <definedName name="Notional_SEN_IDACI_B5_Sec" localSheetId="0">#REF!</definedName>
    <definedName name="Notional_SEN_IDACI_B5_Sec">#REF!</definedName>
    <definedName name="Notional_SEN_IDACI_B6_Pri" localSheetId="0">#REF!</definedName>
    <definedName name="Notional_SEN_IDACI_B6_Pri">#REF!</definedName>
    <definedName name="Notional_SEN_IDACI_B6_Sec" localSheetId="0">#REF!</definedName>
    <definedName name="Notional_SEN_IDACI_B6_Sec">#REF!</definedName>
    <definedName name="Notional_SEN_LAC" localSheetId="0">#REF!</definedName>
    <definedName name="Notional_SEN_LAC">#REF!</definedName>
    <definedName name="Notional_SEN_LCHI_Pri" localSheetId="0">#REF!</definedName>
    <definedName name="Notional_SEN_LCHI_Pri">#REF!</definedName>
    <definedName name="Notional_SEN_LCHI_Sec" localSheetId="0">#REF!</definedName>
    <definedName name="Notional_SEN_LCHI_Sec">#REF!</definedName>
    <definedName name="Notional_SEN_Lump_sum_Pri" localSheetId="0">#REF!</definedName>
    <definedName name="Notional_SEN_Lump_sum_Pri">#REF!</definedName>
    <definedName name="Notional_SEN_Lump_sum_Sec" localSheetId="0">#REF!</definedName>
    <definedName name="Notional_SEN_Lump_sum_Sec">#REF!</definedName>
    <definedName name="Notional_SEN_MFG" localSheetId="0">#REF!</definedName>
    <definedName name="Notional_SEN_MFG">#REF!</definedName>
    <definedName name="Notional_SEN_Mobility_Pri" localSheetId="0">#REF!</definedName>
    <definedName name="Notional_SEN_Mobility_Pri">#REF!</definedName>
    <definedName name="Notional_SEN_Mobility_Sec" localSheetId="0">#REF!</definedName>
    <definedName name="Notional_SEN_Mobility_Sec">#REF!</definedName>
    <definedName name="Notional_SEN_MPPF" localSheetId="0">#REF!</definedName>
    <definedName name="Notional_SEN_MPPF">#REF!</definedName>
    <definedName name="Notional_SEN_PFI" localSheetId="0">#REF!</definedName>
    <definedName name="Notional_SEN_PFI">#REF!</definedName>
    <definedName name="Notional_SEN_Rates" localSheetId="0">#REF!</definedName>
    <definedName name="Notional_SEN_Rates">#REF!</definedName>
    <definedName name="Notional_SEN_SixthForm" localSheetId="0">#REF!</definedName>
    <definedName name="Notional_SEN_SixthForm">#REF!</definedName>
    <definedName name="Notional_SEN_Sparsity_Pri" localSheetId="0">#REF!</definedName>
    <definedName name="Notional_SEN_Sparsity_Pri">#REF!</definedName>
    <definedName name="Notional_SEN_Sparsity_Sec" localSheetId="0">#REF!</definedName>
    <definedName name="Notional_SEN_Sparsity_Sec">#REF!</definedName>
    <definedName name="Notional_SEN_Split_sites" localSheetId="0">#REF!</definedName>
    <definedName name="Notional_SEN_Split_sites">#REF!</definedName>
    <definedName name="NOVEMBER" localSheetId="0">#REF!</definedName>
    <definedName name="NOVEMBER">#REF!</definedName>
    <definedName name="OCTOBER" localSheetId="0">#REF!</definedName>
    <definedName name="OCTOBER">#REF!</definedName>
    <definedName name="part" localSheetId="0">#REF!</definedName>
    <definedName name="part">#REF!</definedName>
    <definedName name="PFI_Total" localSheetId="0">#REF!</definedName>
    <definedName name="PFI_Total">#REF!</definedName>
    <definedName name="previous_year">#REF!</definedName>
    <definedName name="previous_year_full">#REF!</definedName>
    <definedName name="Pri_dist_taper">#REF!</definedName>
    <definedName name="Pri_distance_threshold" localSheetId="0">#REF!</definedName>
    <definedName name="Pri_distance_threshold">#REF!</definedName>
    <definedName name="Pri_PupilNo_threshold" localSheetId="0">#REF!</definedName>
    <definedName name="Pri_PupilNo_threshold">#REF!</definedName>
    <definedName name="Primary_Lump_sum" localSheetId="0">#REF!</definedName>
    <definedName name="Primary_Lump_sum">#REF!</definedName>
    <definedName name="_xlnm.Print_Area" localSheetId="7">'Budget Plan'!$A$1:$O$106</definedName>
    <definedName name="_xlnm.Print_Titles" localSheetId="7">'Budget Plan'!$5:$5</definedName>
    <definedName name="_xlnm.Print_Titles" localSheetId="17">'PTR, Contact Ratio'!$5:$5</definedName>
    <definedName name="ProformaAdditionalFundingFromHN">#REF!</definedName>
    <definedName name="ProformaExceptionalCircumstanceTotals">#REF!</definedName>
    <definedName name="ProformaFallingRollsFund">#REF!</definedName>
    <definedName name="ProformaGrowthFund">#REF!</definedName>
    <definedName name="ProformaHNThreshold">#REF!</definedName>
    <definedName name="PupilPremium" localSheetId="0">#REF!</definedName>
    <definedName name="PupilPremium">#REF!</definedName>
    <definedName name="PY_MFG_Exclusion_Totals">#REF!</definedName>
    <definedName name="Quarter" localSheetId="0">#REF!</definedName>
    <definedName name="Quarter">#REF!</definedName>
    <definedName name="Rates_Total" localSheetId="0">#REF!</definedName>
    <definedName name="Rates_Total">#REF!</definedName>
    <definedName name="Reasons_list" localSheetId="0">#REF!</definedName>
    <definedName name="Reasons_list">#REF!</definedName>
    <definedName name="Reception_Uplift_YesNo" localSheetId="0">#REF!</definedName>
    <definedName name="Reception_Uplift_YesNo">#REF!</definedName>
    <definedName name="revbudg" localSheetId="0">#REF!</definedName>
    <definedName name="revbudg">#REF!</definedName>
    <definedName name="row" localSheetId="0">#REF!</definedName>
    <definedName name="row">#REF!</definedName>
    <definedName name="Scaling_Factor" localSheetId="0">#REF!</definedName>
    <definedName name="Scaling_Factor">#REF!</definedName>
    <definedName name="School" localSheetId="0">#REF!</definedName>
    <definedName name="School">#REF!</definedName>
    <definedName name="School_list" localSheetId="0">#REF!</definedName>
    <definedName name="School_list">#REF!</definedName>
    <definedName name="School_Name" localSheetId="0">#REF!</definedName>
    <definedName name="School_Name">#REF!</definedName>
    <definedName name="Schools" localSheetId="0">#REF!</definedName>
    <definedName name="Schools">#REF!</definedName>
    <definedName name="Schoolsreference2" localSheetId="0">#REF!</definedName>
    <definedName name="Schoolsreference2">#REF!</definedName>
    <definedName name="Sec_dist_taper">#REF!</definedName>
    <definedName name="Sec_distance_threshold" localSheetId="0">#REF!</definedName>
    <definedName name="Sec_distance_threshold">#REF!</definedName>
    <definedName name="Sec_PupilNo_threshold" localSheetId="0">#REF!</definedName>
    <definedName name="Sec_PupilNo_threshold">#REF!</definedName>
    <definedName name="Secondary_Lump_Sum" localSheetId="0">#REF!</definedName>
    <definedName name="Secondary_Lump_Sum">#REF!</definedName>
    <definedName name="SEPTEMBER" localSheetId="0">#REF!</definedName>
    <definedName name="SEPTEMBER">#REF!</definedName>
    <definedName name="Sheet_Name" localSheetId="0">#REF!</definedName>
    <definedName name="Sheet_Name">#REF!</definedName>
    <definedName name="Sixth_Form_Total" localSheetId="0">#REF!</definedName>
    <definedName name="Sixth_Form_Total">#REF!</definedName>
    <definedName name="Sparsity_All_lump_sum" localSheetId="0">#REF!</definedName>
    <definedName name="Sparsity_All_lump_sum">#REF!</definedName>
    <definedName name="Sparsity_Mid_lump_sum" localSheetId="0">#REF!</definedName>
    <definedName name="Sparsity_Mid_lump_sum">#REF!</definedName>
    <definedName name="Sparsity_Pri_DD_percentage" localSheetId="0">#REF!</definedName>
    <definedName name="Sparsity_Pri_DD_percentage">#REF!</definedName>
    <definedName name="Sparsity_Pri_lump_sum" localSheetId="0">#REF!</definedName>
    <definedName name="Sparsity_Pri_lump_sum">#REF!</definedName>
    <definedName name="Sparsity_Sec_DD_percentage" localSheetId="0">#REF!</definedName>
    <definedName name="Sparsity_Sec_DD_percentage">#REF!</definedName>
    <definedName name="Sparsity_Sec_lump_sum" localSheetId="0">#REF!</definedName>
    <definedName name="Sparsity_Sec_lump_sum">#REF!</definedName>
    <definedName name="Sparsity_Total" localSheetId="0">#REF!</definedName>
    <definedName name="Sparsity_Total">#REF!</definedName>
    <definedName name="Split_sites_distance_rate">#REF!</definedName>
    <definedName name="Split_sites_lump_sum">#REF!</definedName>
    <definedName name="Split_Sites_Total" localSheetId="0">#REF!</definedName>
    <definedName name="Split_Sites_Total">#REF!</definedName>
    <definedName name="table" localSheetId="0">#REF!</definedName>
    <definedName name="table">#REF!</definedName>
    <definedName name="Tapered_all_lump_sum" localSheetId="0">#REF!</definedName>
    <definedName name="Tapered_all_lump_sum">#REF!</definedName>
    <definedName name="Tapered_mid_lump_sum" localSheetId="0">#REF!</definedName>
    <definedName name="Tapered_mid_lump_sum">#REF!</definedName>
    <definedName name="Tapered_primary_lump_sum" localSheetId="0">#REF!</definedName>
    <definedName name="Tapered_primary_lump_sum">#REF!</definedName>
    <definedName name="Tapered_secondary_lump_sum" localSheetId="0">#REF!</definedName>
    <definedName name="Tapered_secondary_lump_su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al_Notional_SEN" localSheetId="0">#REF!</definedName>
    <definedName name="Total_Notional_SEN">#REF!</definedName>
    <definedName name="Total_Primary_funding" localSheetId="0">#REF!</definedName>
    <definedName name="Total_Primary_funding">#REF!</definedName>
    <definedName name="Total_Secondary_Funding" localSheetId="0">#REF!</definedName>
    <definedName name="Total_Secondary_Funding">#REF!</definedName>
    <definedName name="ValidationList1">#REF!</definedName>
    <definedName name="ValidationList2">#REF!</definedName>
    <definedName name="WorkingBudget" localSheetId="0">#REF!</definedName>
    <definedName name="WorkingBudget">#REF!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22" l="1"/>
  <c r="W77" i="22" s="1"/>
  <c r="M9" i="23"/>
  <c r="M65" i="23"/>
  <c r="M64" i="23"/>
  <c r="M63" i="23"/>
  <c r="M61" i="23"/>
  <c r="M60" i="23"/>
  <c r="M59" i="23"/>
  <c r="M58" i="23"/>
  <c r="M57" i="23"/>
  <c r="M56" i="23"/>
  <c r="M55" i="23"/>
  <c r="M54" i="23"/>
  <c r="M53" i="23"/>
  <c r="M52" i="23"/>
  <c r="M51" i="23"/>
  <c r="M50" i="23"/>
  <c r="M48" i="23"/>
  <c r="M47" i="23"/>
  <c r="M46" i="23"/>
  <c r="M44" i="23"/>
  <c r="M43" i="23"/>
  <c r="M42" i="23"/>
  <c r="M41" i="23"/>
  <c r="M40" i="23"/>
  <c r="M39" i="23"/>
  <c r="M38" i="23"/>
  <c r="M37" i="23"/>
  <c r="M36" i="23"/>
  <c r="M35" i="23"/>
  <c r="M34" i="23"/>
  <c r="M33" i="23"/>
  <c r="M32" i="23"/>
  <c r="M10" i="23"/>
  <c r="M11" i="23"/>
  <c r="M12" i="23"/>
  <c r="M13" i="23"/>
  <c r="M14" i="23"/>
  <c r="M15" i="23"/>
  <c r="M16" i="23"/>
  <c r="M17" i="23"/>
  <c r="M18" i="23"/>
  <c r="M19" i="23"/>
  <c r="M20" i="23"/>
  <c r="M21" i="23"/>
  <c r="M22" i="23"/>
  <c r="M23" i="23"/>
  <c r="M24" i="23"/>
  <c r="M25" i="23"/>
  <c r="M26" i="23"/>
  <c r="M27" i="23"/>
  <c r="M28" i="23"/>
  <c r="M29" i="23"/>
  <c r="M30" i="23"/>
  <c r="O9" i="23"/>
  <c r="L9" i="23"/>
  <c r="B3" i="28"/>
  <c r="B3" i="27"/>
  <c r="B3" i="25"/>
  <c r="E4" i="22"/>
  <c r="E4" i="21"/>
  <c r="B3" i="23"/>
  <c r="B3" i="20"/>
  <c r="B3" i="26"/>
  <c r="W81" i="22" l="1"/>
  <c r="W22" i="22"/>
  <c r="T73" i="23"/>
  <c r="S73" i="23"/>
  <c r="R73" i="23"/>
  <c r="N73" i="23"/>
  <c r="K73" i="23"/>
  <c r="J73" i="23"/>
  <c r="T72" i="23"/>
  <c r="S72" i="23"/>
  <c r="R72" i="23"/>
  <c r="P72" i="23"/>
  <c r="N72" i="23"/>
  <c r="M72" i="23"/>
  <c r="L72" i="23"/>
  <c r="K72" i="23"/>
  <c r="J72" i="23"/>
  <c r="T71" i="23"/>
  <c r="S71" i="23"/>
  <c r="R71" i="23"/>
  <c r="N71" i="23"/>
  <c r="K71" i="23"/>
  <c r="J71" i="23"/>
  <c r="T70" i="23"/>
  <c r="S70" i="23"/>
  <c r="R70" i="23"/>
  <c r="N70" i="23"/>
  <c r="K70" i="23"/>
  <c r="J70" i="23"/>
  <c r="T69" i="23"/>
  <c r="T74" i="23" s="1"/>
  <c r="S69" i="23"/>
  <c r="R69" i="23"/>
  <c r="R74" i="23" s="1"/>
  <c r="N69" i="23"/>
  <c r="K69" i="23"/>
  <c r="J69" i="23"/>
  <c r="J74" i="23" s="1"/>
  <c r="AH66" i="23"/>
  <c r="AG66" i="23"/>
  <c r="AF66" i="23"/>
  <c r="AE66" i="23"/>
  <c r="AD66" i="23"/>
  <c r="AC66" i="23"/>
  <c r="AB66" i="23"/>
  <c r="AA66" i="23"/>
  <c r="Z66" i="23"/>
  <c r="Y66" i="23"/>
  <c r="X66" i="23"/>
  <c r="W66" i="23"/>
  <c r="T66" i="23"/>
  <c r="S66" i="23"/>
  <c r="R66" i="23"/>
  <c r="AI65" i="23"/>
  <c r="Q65" i="23"/>
  <c r="L65" i="23"/>
  <c r="O65" i="23" s="1"/>
  <c r="AI64" i="23"/>
  <c r="Q64" i="23"/>
  <c r="L64" i="23"/>
  <c r="O64" i="23" s="1"/>
  <c r="AJ63" i="23"/>
  <c r="AI63" i="23"/>
  <c r="AI73" i="23" s="1"/>
  <c r="Q63" i="23"/>
  <c r="Q73" i="23" s="1"/>
  <c r="L63" i="23"/>
  <c r="AI61" i="23"/>
  <c r="Q61" i="23"/>
  <c r="O61" i="23"/>
  <c r="AI60" i="23"/>
  <c r="AJ60" i="23" s="1"/>
  <c r="Q60" i="23"/>
  <c r="O60" i="23"/>
  <c r="AI59" i="23"/>
  <c r="Q59" i="23"/>
  <c r="O59" i="23"/>
  <c r="AI58" i="23"/>
  <c r="Q58" i="23"/>
  <c r="AJ58" i="23" s="1"/>
  <c r="O58" i="23"/>
  <c r="AI57" i="23"/>
  <c r="AJ57" i="23" s="1"/>
  <c r="Q57" i="23"/>
  <c r="O57" i="23"/>
  <c r="AJ56" i="23"/>
  <c r="AI56" i="23"/>
  <c r="Q56" i="23"/>
  <c r="O56" i="23"/>
  <c r="AI55" i="23"/>
  <c r="Q55" i="23"/>
  <c r="O55" i="23"/>
  <c r="AI54" i="23"/>
  <c r="AJ54" i="23" s="1"/>
  <c r="Q54" i="23"/>
  <c r="O54" i="23"/>
  <c r="AI53" i="23"/>
  <c r="AJ53" i="23" s="1"/>
  <c r="Q53" i="23"/>
  <c r="O53" i="23"/>
  <c r="AI52" i="23"/>
  <c r="Q52" i="23"/>
  <c r="AJ52" i="23" s="1"/>
  <c r="O52" i="23"/>
  <c r="AI51" i="23"/>
  <c r="Q51" i="23"/>
  <c r="O51" i="23"/>
  <c r="AI50" i="23"/>
  <c r="Q50" i="23"/>
  <c r="O50" i="23"/>
  <c r="O72" i="23" s="1"/>
  <c r="AI48" i="23"/>
  <c r="Q48" i="23"/>
  <c r="L48" i="23"/>
  <c r="O48" i="23" s="1"/>
  <c r="P48" i="23" s="1"/>
  <c r="AI47" i="23"/>
  <c r="Q47" i="23"/>
  <c r="AJ47" i="23" s="1"/>
  <c r="O47" i="23"/>
  <c r="L47" i="23"/>
  <c r="AI46" i="23"/>
  <c r="AI71" i="23" s="1"/>
  <c r="Q46" i="23"/>
  <c r="AJ46" i="23" s="1"/>
  <c r="L46" i="23"/>
  <c r="AI44" i="23"/>
  <c r="Q44" i="23"/>
  <c r="L44" i="23"/>
  <c r="O44" i="23" s="1"/>
  <c r="P44" i="23" s="1"/>
  <c r="AJ43" i="23"/>
  <c r="AI43" i="23"/>
  <c r="Q43" i="23"/>
  <c r="O43" i="23"/>
  <c r="P43" i="23" s="1"/>
  <c r="L43" i="23"/>
  <c r="AI42" i="23"/>
  <c r="Q42" i="23"/>
  <c r="L42" i="23"/>
  <c r="O42" i="23" s="1"/>
  <c r="AI41" i="23"/>
  <c r="Q41" i="23"/>
  <c r="L41" i="23"/>
  <c r="AI40" i="23"/>
  <c r="Q40" i="23"/>
  <c r="O40" i="23"/>
  <c r="L40" i="23"/>
  <c r="AI39" i="23"/>
  <c r="Q39" i="23"/>
  <c r="L39" i="23"/>
  <c r="O39" i="23" s="1"/>
  <c r="P39" i="23" s="1"/>
  <c r="AI38" i="23"/>
  <c r="Q38" i="23"/>
  <c r="L38" i="23"/>
  <c r="AI37" i="23"/>
  <c r="Q37" i="23"/>
  <c r="L37" i="23"/>
  <c r="AI36" i="23"/>
  <c r="Q36" i="23"/>
  <c r="L36" i="23"/>
  <c r="O36" i="23" s="1"/>
  <c r="P36" i="23" s="1"/>
  <c r="AI35" i="23"/>
  <c r="Q35" i="23"/>
  <c r="L35" i="23"/>
  <c r="O35" i="23" s="1"/>
  <c r="P35" i="23" s="1"/>
  <c r="AI34" i="23"/>
  <c r="Q34" i="23"/>
  <c r="L34" i="23"/>
  <c r="O34" i="23" s="1"/>
  <c r="AI33" i="23"/>
  <c r="Q33" i="23"/>
  <c r="L33" i="23"/>
  <c r="AI32" i="23"/>
  <c r="Q32" i="23"/>
  <c r="O32" i="23"/>
  <c r="AI30" i="23"/>
  <c r="Q30" i="23"/>
  <c r="AJ30" i="23" s="1"/>
  <c r="L30" i="23"/>
  <c r="AI29" i="23"/>
  <c r="Q29" i="23"/>
  <c r="AJ29" i="23" s="1"/>
  <c r="L29" i="23"/>
  <c r="AI28" i="23"/>
  <c r="AJ28" i="23" s="1"/>
  <c r="Q28" i="23"/>
  <c r="L28" i="23"/>
  <c r="AI27" i="23"/>
  <c r="Q27" i="23"/>
  <c r="L27" i="23"/>
  <c r="O27" i="23" s="1"/>
  <c r="P27" i="23" s="1"/>
  <c r="AI26" i="23"/>
  <c r="Q26" i="23"/>
  <c r="O26" i="23"/>
  <c r="P26" i="23" s="1"/>
  <c r="L26" i="23"/>
  <c r="AI25" i="23"/>
  <c r="Q25" i="23"/>
  <c r="AJ25" i="23" s="1"/>
  <c r="L25" i="23"/>
  <c r="O25" i="23" s="1"/>
  <c r="P25" i="23" s="1"/>
  <c r="AI24" i="23"/>
  <c r="Q24" i="23"/>
  <c r="AJ24" i="23" s="1"/>
  <c r="O24" i="23"/>
  <c r="P24" i="23" s="1"/>
  <c r="L24" i="23"/>
  <c r="AI23" i="23"/>
  <c r="AJ23" i="23" s="1"/>
  <c r="Q23" i="23"/>
  <c r="L23" i="23"/>
  <c r="O23" i="23" s="1"/>
  <c r="P23" i="23" s="1"/>
  <c r="AI22" i="23"/>
  <c r="Q22" i="23"/>
  <c r="AJ22" i="23" s="1"/>
  <c r="L22" i="23"/>
  <c r="O22" i="23" s="1"/>
  <c r="AI21" i="23"/>
  <c r="Q21" i="23"/>
  <c r="AJ21" i="23" s="1"/>
  <c r="L21" i="23"/>
  <c r="O21" i="23" s="1"/>
  <c r="AI20" i="23"/>
  <c r="AJ20" i="23" s="1"/>
  <c r="Q20" i="23"/>
  <c r="L20" i="23"/>
  <c r="AI19" i="23"/>
  <c r="Q19" i="23"/>
  <c r="L19" i="23"/>
  <c r="O19" i="23" s="1"/>
  <c r="P19" i="23" s="1"/>
  <c r="AI18" i="23"/>
  <c r="Q18" i="23"/>
  <c r="O18" i="23"/>
  <c r="P18" i="23" s="1"/>
  <c r="L18" i="23"/>
  <c r="AI17" i="23"/>
  <c r="Q17" i="23"/>
  <c r="AJ17" i="23" s="1"/>
  <c r="L17" i="23"/>
  <c r="O17" i="23" s="1"/>
  <c r="P17" i="23" s="1"/>
  <c r="AI16" i="23"/>
  <c r="Q16" i="23"/>
  <c r="AJ16" i="23" s="1"/>
  <c r="O16" i="23"/>
  <c r="P16" i="23" s="1"/>
  <c r="L16" i="23"/>
  <c r="AI15" i="23"/>
  <c r="AJ15" i="23" s="1"/>
  <c r="Q15" i="23"/>
  <c r="L15" i="23"/>
  <c r="O15" i="23" s="1"/>
  <c r="P15" i="23" s="1"/>
  <c r="AI14" i="23"/>
  <c r="Q14" i="23"/>
  <c r="AJ14" i="23" s="1"/>
  <c r="L14" i="23"/>
  <c r="O14" i="23" s="1"/>
  <c r="AI13" i="23"/>
  <c r="Q13" i="23"/>
  <c r="AJ13" i="23" s="1"/>
  <c r="L13" i="23"/>
  <c r="AI12" i="23"/>
  <c r="AJ12" i="23" s="1"/>
  <c r="Q12" i="23"/>
  <c r="L12" i="23"/>
  <c r="AI11" i="23"/>
  <c r="Q11" i="23"/>
  <c r="L11" i="23"/>
  <c r="O11" i="23" s="1"/>
  <c r="P11" i="23" s="1"/>
  <c r="AI10" i="23"/>
  <c r="Q10" i="23"/>
  <c r="O10" i="23"/>
  <c r="P10" i="23" s="1"/>
  <c r="L10" i="23"/>
  <c r="AI9" i="23"/>
  <c r="Q9" i="23"/>
  <c r="Q66" i="23" s="1"/>
  <c r="W74" i="22"/>
  <c r="W66" i="22"/>
  <c r="AA59" i="22"/>
  <c r="AA54" i="22"/>
  <c r="W53" i="22"/>
  <c r="AA48" i="22"/>
  <c r="W45" i="22"/>
  <c r="AA41" i="22"/>
  <c r="W37" i="22"/>
  <c r="AA34" i="22"/>
  <c r="W30" i="22"/>
  <c r="V15" i="22"/>
  <c r="AJ72" i="23" l="1"/>
  <c r="Q70" i="23"/>
  <c r="AJ51" i="23"/>
  <c r="AI72" i="23"/>
  <c r="AI70" i="23"/>
  <c r="P47" i="23"/>
  <c r="AJ48" i="23"/>
  <c r="AJ71" i="23" s="1"/>
  <c r="AJ64" i="23"/>
  <c r="AJ73" i="23" s="1"/>
  <c r="S74" i="23"/>
  <c r="Q72" i="23"/>
  <c r="AJ61" i="23"/>
  <c r="AJ11" i="23"/>
  <c r="AJ19" i="23"/>
  <c r="AJ27" i="23"/>
  <c r="P40" i="23"/>
  <c r="AJ42" i="23"/>
  <c r="AJ44" i="23"/>
  <c r="AJ59" i="23"/>
  <c r="L73" i="23"/>
  <c r="AJ65" i="23"/>
  <c r="AJ50" i="23"/>
  <c r="AI66" i="23"/>
  <c r="Q69" i="23"/>
  <c r="Q74" i="23" s="1"/>
  <c r="AJ18" i="23"/>
  <c r="AJ26" i="23"/>
  <c r="AJ55" i="23"/>
  <c r="K74" i="23"/>
  <c r="N74" i="23"/>
  <c r="P30" i="23"/>
  <c r="P28" i="23"/>
  <c r="O46" i="23"/>
  <c r="M71" i="23"/>
  <c r="Q71" i="23"/>
  <c r="O30" i="23"/>
  <c r="O38" i="23"/>
  <c r="P38" i="23" s="1"/>
  <c r="AJ9" i="23"/>
  <c r="O12" i="23"/>
  <c r="P12" i="23" s="1"/>
  <c r="P14" i="23"/>
  <c r="O20" i="23"/>
  <c r="P20" i="23" s="1"/>
  <c r="P22" i="23"/>
  <c r="O28" i="23"/>
  <c r="P34" i="23"/>
  <c r="O37" i="23"/>
  <c r="P37" i="23" s="1"/>
  <c r="O41" i="23"/>
  <c r="P41" i="23" s="1"/>
  <c r="P42" i="23"/>
  <c r="P65" i="23"/>
  <c r="L69" i="23"/>
  <c r="O13" i="23"/>
  <c r="P13" i="23" s="1"/>
  <c r="O29" i="23"/>
  <c r="P29" i="23" s="1"/>
  <c r="P21" i="23"/>
  <c r="P64" i="23"/>
  <c r="AI69" i="23"/>
  <c r="L71" i="23"/>
  <c r="L70" i="23"/>
  <c r="AJ10" i="23"/>
  <c r="AJ70" i="23" l="1"/>
  <c r="AI74" i="23"/>
  <c r="O63" i="23"/>
  <c r="M73" i="23"/>
  <c r="O71" i="23"/>
  <c r="P46" i="23"/>
  <c r="P71" i="23" s="1"/>
  <c r="M69" i="23"/>
  <c r="AJ69" i="23"/>
  <c r="AJ74" i="23" s="1"/>
  <c r="AI76" i="23" s="1"/>
  <c r="AJ66" i="23"/>
  <c r="O69" i="23"/>
  <c r="P9" i="23"/>
  <c r="P69" i="23" s="1"/>
  <c r="O33" i="23"/>
  <c r="M70" i="23"/>
  <c r="L74" i="23"/>
  <c r="M74" i="23" l="1"/>
  <c r="P33" i="23"/>
  <c r="P70" i="23" s="1"/>
  <c r="O70" i="23"/>
  <c r="O73" i="23"/>
  <c r="O74" i="23" s="1"/>
  <c r="P63" i="23"/>
  <c r="P73" i="23" s="1"/>
  <c r="P74" i="23" s="1"/>
  <c r="V21" i="3" l="1"/>
  <c r="U21" i="3"/>
  <c r="T21" i="3"/>
  <c r="S21" i="3"/>
  <c r="R21" i="3"/>
  <c r="Q21" i="3"/>
  <c r="H58" i="10"/>
  <c r="B3" i="2"/>
  <c r="B3" i="1"/>
  <c r="G58" i="10"/>
  <c r="F58" i="10"/>
  <c r="E58" i="10"/>
  <c r="D58" i="10"/>
  <c r="C58" i="10"/>
  <c r="H60" i="10"/>
  <c r="G60" i="10"/>
  <c r="F60" i="10"/>
  <c r="E60" i="10"/>
  <c r="D60" i="10"/>
  <c r="C60" i="10"/>
  <c r="H59" i="10"/>
  <c r="G59" i="10"/>
  <c r="F59" i="10"/>
  <c r="E59" i="10"/>
  <c r="D59" i="10"/>
  <c r="C59" i="10"/>
  <c r="O19" i="17"/>
  <c r="M19" i="17"/>
  <c r="K19" i="17"/>
  <c r="K18" i="17"/>
  <c r="I19" i="17"/>
  <c r="G19" i="17"/>
  <c r="G18" i="17"/>
  <c r="O18" i="17"/>
  <c r="M18" i="17"/>
  <c r="I18" i="17"/>
  <c r="O17" i="17"/>
  <c r="M17" i="17"/>
  <c r="K17" i="17"/>
  <c r="I17" i="17"/>
  <c r="G17" i="17"/>
  <c r="M11" i="17"/>
  <c r="N13" i="17" s="1"/>
  <c r="K11" i="17"/>
  <c r="L13" i="17" s="1"/>
  <c r="I11" i="17"/>
  <c r="J13" i="17" s="1"/>
  <c r="G11" i="17"/>
  <c r="H13" i="17" s="1"/>
  <c r="C19" i="17" l="1"/>
  <c r="C18" i="17"/>
  <c r="C17" i="17"/>
  <c r="C11" i="17"/>
  <c r="D13" i="17" s="1"/>
  <c r="N20" i="17"/>
  <c r="N24" i="17"/>
  <c r="L20" i="17"/>
  <c r="L24" i="17"/>
  <c r="B3" i="17"/>
  <c r="P20" i="17"/>
  <c r="H20" i="17"/>
  <c r="P13" i="17"/>
  <c r="P24" i="17" s="1"/>
  <c r="H24" i="17"/>
  <c r="P10" i="17"/>
  <c r="D20" i="17" l="1"/>
  <c r="P22" i="17"/>
  <c r="H61" i="10" s="1"/>
  <c r="J24" i="17"/>
  <c r="J20" i="17"/>
  <c r="J28" i="17" s="1"/>
  <c r="N28" i="17"/>
  <c r="N26" i="17"/>
  <c r="L28" i="17"/>
  <c r="L26" i="17"/>
  <c r="D24" i="17"/>
  <c r="P26" i="17"/>
  <c r="P28" i="17"/>
  <c r="H28" i="17"/>
  <c r="H26" i="17"/>
  <c r="H19" i="3"/>
  <c r="G19" i="3"/>
  <c r="F19" i="3"/>
  <c r="E19" i="3"/>
  <c r="D19" i="3"/>
  <c r="C19" i="3"/>
  <c r="H18" i="3"/>
  <c r="G18" i="3"/>
  <c r="F18" i="3"/>
  <c r="E18" i="3"/>
  <c r="D18" i="3"/>
  <c r="C18" i="3"/>
  <c r="H17" i="3"/>
  <c r="G17" i="3"/>
  <c r="F17" i="3"/>
  <c r="E17" i="3"/>
  <c r="D17" i="3"/>
  <c r="C17" i="3"/>
  <c r="H16" i="3"/>
  <c r="G16" i="3"/>
  <c r="F16" i="3"/>
  <c r="E16" i="3"/>
  <c r="D16" i="3"/>
  <c r="C16" i="3"/>
  <c r="H15" i="3"/>
  <c r="G15" i="3"/>
  <c r="F15" i="3"/>
  <c r="E15" i="3"/>
  <c r="D15" i="3"/>
  <c r="C15" i="3"/>
  <c r="H14" i="3"/>
  <c r="G14" i="3"/>
  <c r="F14" i="3"/>
  <c r="E14" i="3"/>
  <c r="D14" i="3"/>
  <c r="C14" i="3"/>
  <c r="H13" i="3"/>
  <c r="G13" i="3"/>
  <c r="F13" i="3"/>
  <c r="E13" i="3"/>
  <c r="D13" i="3"/>
  <c r="C13" i="3"/>
  <c r="H12" i="3"/>
  <c r="G12" i="3"/>
  <c r="F12" i="3"/>
  <c r="E12" i="3"/>
  <c r="D12" i="3"/>
  <c r="C12" i="3"/>
  <c r="H11" i="3"/>
  <c r="G11" i="3"/>
  <c r="F11" i="3"/>
  <c r="E11" i="3"/>
  <c r="D11" i="3"/>
  <c r="C11" i="3"/>
  <c r="H10" i="3"/>
  <c r="G10" i="3"/>
  <c r="F10" i="3"/>
  <c r="E10" i="3"/>
  <c r="D10" i="3"/>
  <c r="C10" i="3"/>
  <c r="H9" i="3"/>
  <c r="G9" i="3"/>
  <c r="F9" i="3"/>
  <c r="E9" i="3"/>
  <c r="D9" i="3"/>
  <c r="C9" i="3"/>
  <c r="V21" i="14"/>
  <c r="U21" i="14"/>
  <c r="T21" i="14"/>
  <c r="S21" i="14"/>
  <c r="R21" i="14"/>
  <c r="Q21" i="14"/>
  <c r="C10" i="14"/>
  <c r="D10" i="14"/>
  <c r="E10" i="14"/>
  <c r="F10" i="14"/>
  <c r="G10" i="14"/>
  <c r="H10" i="14"/>
  <c r="C11" i="14"/>
  <c r="D11" i="14"/>
  <c r="E11" i="14"/>
  <c r="F11" i="14"/>
  <c r="G11" i="14"/>
  <c r="H11" i="14"/>
  <c r="C12" i="14"/>
  <c r="D12" i="14"/>
  <c r="E12" i="14"/>
  <c r="F12" i="14"/>
  <c r="G12" i="14"/>
  <c r="H12" i="14"/>
  <c r="C13" i="14"/>
  <c r="D13" i="14"/>
  <c r="E13" i="14"/>
  <c r="F13" i="14"/>
  <c r="G13" i="14"/>
  <c r="H13" i="14"/>
  <c r="C14" i="14"/>
  <c r="D14" i="14"/>
  <c r="E14" i="14"/>
  <c r="F14" i="14"/>
  <c r="G14" i="14"/>
  <c r="H14" i="14"/>
  <c r="C15" i="14"/>
  <c r="D15" i="14"/>
  <c r="E15" i="14"/>
  <c r="F15" i="14"/>
  <c r="G15" i="14"/>
  <c r="H15" i="14"/>
  <c r="C16" i="14"/>
  <c r="D16" i="14"/>
  <c r="E16" i="14"/>
  <c r="F16" i="14"/>
  <c r="G16" i="14"/>
  <c r="H16" i="14"/>
  <c r="C17" i="14"/>
  <c r="D17" i="14"/>
  <c r="E17" i="14"/>
  <c r="F17" i="14"/>
  <c r="G17" i="14"/>
  <c r="H17" i="14"/>
  <c r="C18" i="14"/>
  <c r="D18" i="14"/>
  <c r="E18" i="14"/>
  <c r="F18" i="14"/>
  <c r="G18" i="14"/>
  <c r="H18" i="14"/>
  <c r="C19" i="14"/>
  <c r="D19" i="14"/>
  <c r="E19" i="14"/>
  <c r="F19" i="14"/>
  <c r="G19" i="14"/>
  <c r="H19" i="14"/>
  <c r="D9" i="14"/>
  <c r="E9" i="14"/>
  <c r="F9" i="14"/>
  <c r="G9" i="14"/>
  <c r="H9" i="14"/>
  <c r="C9" i="14"/>
  <c r="D94" i="1"/>
  <c r="E94" i="1"/>
  <c r="D77" i="1"/>
  <c r="E77" i="1"/>
  <c r="H62" i="10"/>
  <c r="H63" i="10"/>
  <c r="H64" i="10"/>
  <c r="H65" i="10"/>
  <c r="H66" i="10"/>
  <c r="H67" i="10"/>
  <c r="H68" i="10"/>
  <c r="H69" i="10"/>
  <c r="H70" i="10"/>
  <c r="H71" i="10"/>
  <c r="H72" i="10"/>
  <c r="D62" i="10"/>
  <c r="E62" i="10"/>
  <c r="F62" i="10"/>
  <c r="G62" i="10"/>
  <c r="D63" i="10"/>
  <c r="E63" i="10"/>
  <c r="F63" i="10"/>
  <c r="G63" i="10"/>
  <c r="D64" i="10"/>
  <c r="E64" i="10"/>
  <c r="F64" i="10"/>
  <c r="G64" i="10"/>
  <c r="D65" i="10"/>
  <c r="E65" i="10"/>
  <c r="F65" i="10"/>
  <c r="G65" i="10"/>
  <c r="D66" i="10"/>
  <c r="E66" i="10"/>
  <c r="F66" i="10"/>
  <c r="G66" i="10"/>
  <c r="D67" i="10"/>
  <c r="E67" i="10"/>
  <c r="F67" i="10"/>
  <c r="G67" i="10"/>
  <c r="D68" i="10"/>
  <c r="E68" i="10"/>
  <c r="F68" i="10"/>
  <c r="G68" i="10"/>
  <c r="D69" i="10"/>
  <c r="E69" i="10"/>
  <c r="F69" i="10"/>
  <c r="G69" i="10"/>
  <c r="D70" i="10"/>
  <c r="E70" i="10"/>
  <c r="F70" i="10"/>
  <c r="G70" i="10"/>
  <c r="D71" i="10"/>
  <c r="E71" i="10"/>
  <c r="F71" i="10"/>
  <c r="G71" i="10"/>
  <c r="D72" i="10"/>
  <c r="E72" i="10"/>
  <c r="F72" i="10"/>
  <c r="G72" i="10"/>
  <c r="C63" i="10"/>
  <c r="C64" i="10"/>
  <c r="C65" i="10"/>
  <c r="C66" i="10"/>
  <c r="C67" i="10"/>
  <c r="C68" i="10"/>
  <c r="C69" i="10"/>
  <c r="C70" i="10"/>
  <c r="C71" i="10"/>
  <c r="C72" i="10"/>
  <c r="C62" i="10"/>
  <c r="C37" i="10"/>
  <c r="D37" i="10"/>
  <c r="E37" i="10"/>
  <c r="F37" i="10"/>
  <c r="G37" i="10"/>
  <c r="C38" i="10"/>
  <c r="D38" i="10"/>
  <c r="E38" i="10"/>
  <c r="F38" i="10"/>
  <c r="G38" i="10"/>
  <c r="C39" i="10"/>
  <c r="D39" i="10"/>
  <c r="E39" i="10"/>
  <c r="F39" i="10"/>
  <c r="G39" i="10"/>
  <c r="C40" i="10"/>
  <c r="D40" i="10"/>
  <c r="E40" i="10"/>
  <c r="F40" i="10"/>
  <c r="G40" i="10"/>
  <c r="C41" i="10"/>
  <c r="D41" i="10"/>
  <c r="E41" i="10"/>
  <c r="F41" i="10"/>
  <c r="G41" i="10"/>
  <c r="C42" i="10"/>
  <c r="D42" i="10"/>
  <c r="E42" i="10"/>
  <c r="F42" i="10"/>
  <c r="G42" i="10"/>
  <c r="C43" i="10"/>
  <c r="D43" i="10"/>
  <c r="E43" i="10"/>
  <c r="F43" i="10"/>
  <c r="G43" i="10"/>
  <c r="C44" i="10"/>
  <c r="D44" i="10"/>
  <c r="E44" i="10"/>
  <c r="F44" i="10"/>
  <c r="G44" i="10"/>
  <c r="C45" i="10"/>
  <c r="D45" i="10"/>
  <c r="E45" i="10"/>
  <c r="F45" i="10"/>
  <c r="G45" i="10"/>
  <c r="C46" i="10"/>
  <c r="D46" i="10"/>
  <c r="E46" i="10"/>
  <c r="F46" i="10"/>
  <c r="G46" i="10"/>
  <c r="D36" i="10"/>
  <c r="E36" i="10"/>
  <c r="F36" i="10"/>
  <c r="G36" i="10"/>
  <c r="C36" i="10"/>
  <c r="C25" i="10"/>
  <c r="D22" i="10"/>
  <c r="E22" i="10"/>
  <c r="F22" i="10"/>
  <c r="G22" i="10"/>
  <c r="H22" i="10"/>
  <c r="I22" i="10"/>
  <c r="C22" i="10"/>
  <c r="H53" i="10"/>
  <c r="C26" i="15"/>
  <c r="D26" i="15"/>
  <c r="E26" i="15"/>
  <c r="F26" i="15"/>
  <c r="G26" i="15"/>
  <c r="H26" i="15"/>
  <c r="I25" i="10" s="1"/>
  <c r="B26" i="15"/>
  <c r="B3" i="4"/>
  <c r="B3" i="3"/>
  <c r="B3" i="14"/>
  <c r="B3" i="15"/>
  <c r="O21" i="14"/>
  <c r="N21" i="14"/>
  <c r="M21" i="14"/>
  <c r="L21" i="14"/>
  <c r="K21" i="14"/>
  <c r="J21" i="14"/>
  <c r="F9" i="1"/>
  <c r="F10" i="1"/>
  <c r="F11" i="1"/>
  <c r="F12" i="1"/>
  <c r="F8" i="1"/>
  <c r="C53" i="10" l="1"/>
  <c r="H25" i="10"/>
  <c r="N10" i="17"/>
  <c r="N22" i="17" s="1"/>
  <c r="G61" i="10" s="1"/>
  <c r="E25" i="10"/>
  <c r="H10" i="17"/>
  <c r="H22" i="17" s="1"/>
  <c r="D61" i="10" s="1"/>
  <c r="D25" i="10"/>
  <c r="D10" i="17"/>
  <c r="F25" i="10"/>
  <c r="J10" i="17"/>
  <c r="G25" i="10"/>
  <c r="L10" i="17" a="1"/>
  <c r="L10" i="17" s="1"/>
  <c r="L22" i="17" s="1"/>
  <c r="F61" i="10" s="1"/>
  <c r="J26" i="17"/>
  <c r="J22" i="17"/>
  <c r="E61" i="10" s="1"/>
  <c r="D26" i="17"/>
  <c r="D28" i="17"/>
  <c r="D22" i="17"/>
  <c r="C61" i="10" s="1"/>
  <c r="H21" i="14"/>
  <c r="G21" i="14"/>
  <c r="C21" i="14"/>
  <c r="F21" i="14"/>
  <c r="E21" i="14"/>
  <c r="D21" i="14"/>
  <c r="G53" i="10"/>
  <c r="F53" i="10"/>
  <c r="E53" i="10"/>
  <c r="D53" i="10"/>
  <c r="D93" i="1" l="1"/>
  <c r="E93" i="1"/>
  <c r="F93" i="1"/>
  <c r="G93" i="1"/>
  <c r="H93" i="1"/>
  <c r="I93" i="1"/>
  <c r="J93" i="1"/>
  <c r="K93" i="1"/>
  <c r="F94" i="1"/>
  <c r="F95" i="1" s="1"/>
  <c r="G94" i="1"/>
  <c r="H94" i="1"/>
  <c r="I94" i="1"/>
  <c r="J94" i="1"/>
  <c r="K94" i="1"/>
  <c r="D95" i="1"/>
  <c r="E95" i="1"/>
  <c r="G95" i="1"/>
  <c r="H95" i="1"/>
  <c r="I95" i="1"/>
  <c r="J95" i="1"/>
  <c r="K95" i="1"/>
  <c r="D91" i="1"/>
  <c r="E91" i="1"/>
  <c r="F91" i="1"/>
  <c r="G91" i="1"/>
  <c r="H91" i="1"/>
  <c r="I91" i="1"/>
  <c r="J91" i="1"/>
  <c r="K91" i="1"/>
  <c r="D84" i="1"/>
  <c r="E84" i="1"/>
  <c r="F84" i="1"/>
  <c r="G84" i="1"/>
  <c r="H84" i="1"/>
  <c r="I84" i="1"/>
  <c r="J84" i="1"/>
  <c r="K84" i="1"/>
  <c r="F78" i="1"/>
  <c r="I78" i="1"/>
  <c r="J78" i="1"/>
  <c r="D74" i="1"/>
  <c r="E74" i="1"/>
  <c r="D15" i="10" s="1"/>
  <c r="F74" i="1"/>
  <c r="G74" i="1"/>
  <c r="E15" i="10" s="1"/>
  <c r="H74" i="1"/>
  <c r="F15" i="10" s="1"/>
  <c r="I74" i="1"/>
  <c r="G15" i="10" s="1"/>
  <c r="J74" i="1"/>
  <c r="H15" i="10" s="1"/>
  <c r="K74" i="1"/>
  <c r="I15" i="10" s="1"/>
  <c r="D37" i="1"/>
  <c r="D76" i="1" s="1"/>
  <c r="D78" i="1" s="1"/>
  <c r="E37" i="1"/>
  <c r="D14" i="10" s="1"/>
  <c r="F37" i="1"/>
  <c r="G37" i="1"/>
  <c r="E14" i="10" s="1"/>
  <c r="H37" i="1"/>
  <c r="F14" i="10" s="1"/>
  <c r="I37" i="1"/>
  <c r="G14" i="10" s="1"/>
  <c r="J37" i="1"/>
  <c r="H14" i="10" s="1"/>
  <c r="K37" i="1"/>
  <c r="I14" i="10" s="1"/>
  <c r="D13" i="1"/>
  <c r="E13" i="1"/>
  <c r="F13" i="1"/>
  <c r="G13" i="1"/>
  <c r="H13" i="1"/>
  <c r="I13" i="1"/>
  <c r="J13" i="1"/>
  <c r="K13" i="1"/>
  <c r="CN227" i="13"/>
  <c r="CL227" i="13"/>
  <c r="AA227" i="13"/>
  <c r="Z227" i="13"/>
  <c r="Y227" i="13"/>
  <c r="CN226" i="13"/>
  <c r="CL226" i="13"/>
  <c r="AA226" i="13"/>
  <c r="Z226" i="13"/>
  <c r="Y226" i="13"/>
  <c r="ED105" i="13"/>
  <c r="EH103" i="13"/>
  <c r="EG103" i="13"/>
  <c r="EB103" i="13"/>
  <c r="EA103" i="13"/>
  <c r="CN103" i="13"/>
  <c r="CN8" i="13" s="1"/>
  <c r="CL103" i="13"/>
  <c r="CL8" i="13" s="1"/>
  <c r="EH102" i="13"/>
  <c r="EG102" i="13"/>
  <c r="EB102" i="13"/>
  <c r="EA102" i="13"/>
  <c r="DX102" i="13"/>
  <c r="DW102" i="13"/>
  <c r="DU102" i="13"/>
  <c r="DT102" i="13"/>
  <c r="A102" i="13"/>
  <c r="EH101" i="13"/>
  <c r="EG101" i="13"/>
  <c r="EB101" i="13"/>
  <c r="EA101" i="13"/>
  <c r="DX101" i="13"/>
  <c r="DW101" i="13"/>
  <c r="DU101" i="13"/>
  <c r="DT101" i="13"/>
  <c r="A101" i="13"/>
  <c r="EH100" i="13"/>
  <c r="EG100" i="13"/>
  <c r="EB100" i="13"/>
  <c r="EA100" i="13"/>
  <c r="DX100" i="13"/>
  <c r="DW100" i="13"/>
  <c r="DU100" i="13"/>
  <c r="DT100" i="13"/>
  <c r="A100" i="13"/>
  <c r="EH99" i="13"/>
  <c r="EG99" i="13"/>
  <c r="EB99" i="13"/>
  <c r="EA99" i="13"/>
  <c r="DX99" i="13"/>
  <c r="DW99" i="13"/>
  <c r="DU99" i="13"/>
  <c r="DT99" i="13"/>
  <c r="A99" i="13"/>
  <c r="EH98" i="13"/>
  <c r="EG98" i="13"/>
  <c r="EB98" i="13"/>
  <c r="EA98" i="13"/>
  <c r="DX98" i="13"/>
  <c r="DW98" i="13"/>
  <c r="DU98" i="13"/>
  <c r="DT98" i="13"/>
  <c r="A98" i="13"/>
  <c r="EH97" i="13"/>
  <c r="EG97" i="13"/>
  <c r="EB97" i="13"/>
  <c r="EA97" i="13"/>
  <c r="EC97" i="13" s="1"/>
  <c r="EE97" i="13" s="1"/>
  <c r="DX97" i="13"/>
  <c r="DW97" i="13"/>
  <c r="DU97" i="13"/>
  <c r="DT97" i="13"/>
  <c r="A97" i="13"/>
  <c r="EH96" i="13"/>
  <c r="EG96" i="13"/>
  <c r="EB96" i="13"/>
  <c r="EA96" i="13"/>
  <c r="DX96" i="13"/>
  <c r="DW96" i="13"/>
  <c r="DY96" i="13" s="1"/>
  <c r="DU96" i="13"/>
  <c r="DT96" i="13"/>
  <c r="A96" i="13"/>
  <c r="EH95" i="13"/>
  <c r="EG95" i="13"/>
  <c r="EI95" i="13" s="1"/>
  <c r="EK95" i="13" s="1"/>
  <c r="EB95" i="13"/>
  <c r="EA95" i="13"/>
  <c r="DX95" i="13"/>
  <c r="DW95" i="13"/>
  <c r="DU95" i="13"/>
  <c r="DT95" i="13"/>
  <c r="A95" i="13"/>
  <c r="EH94" i="13"/>
  <c r="EG94" i="13"/>
  <c r="EB94" i="13"/>
  <c r="EA94" i="13"/>
  <c r="DX94" i="13"/>
  <c r="DW94" i="13"/>
  <c r="DU94" i="13"/>
  <c r="DT94" i="13"/>
  <c r="A94" i="13"/>
  <c r="EH93" i="13"/>
  <c r="EG93" i="13"/>
  <c r="EB93" i="13"/>
  <c r="EA93" i="13"/>
  <c r="DX93" i="13"/>
  <c r="DW93" i="13"/>
  <c r="DU93" i="13"/>
  <c r="DT93" i="13"/>
  <c r="A93" i="13"/>
  <c r="EH92" i="13"/>
  <c r="EG92" i="13"/>
  <c r="EB92" i="13"/>
  <c r="EA92" i="13"/>
  <c r="DX92" i="13"/>
  <c r="DW92" i="13"/>
  <c r="DU92" i="13"/>
  <c r="DT92" i="13"/>
  <c r="A92" i="13"/>
  <c r="EH91" i="13"/>
  <c r="EG91" i="13"/>
  <c r="EB91" i="13"/>
  <c r="EA91" i="13"/>
  <c r="DX91" i="13"/>
  <c r="DW91" i="13"/>
  <c r="DU91" i="13"/>
  <c r="DT91" i="13"/>
  <c r="A91" i="13"/>
  <c r="EH90" i="13"/>
  <c r="EG90" i="13"/>
  <c r="EB90" i="13"/>
  <c r="EA90" i="13"/>
  <c r="DX90" i="13"/>
  <c r="DW90" i="13"/>
  <c r="DU90" i="13"/>
  <c r="DT90" i="13"/>
  <c r="A90" i="13"/>
  <c r="EH89" i="13"/>
  <c r="EG89" i="13"/>
  <c r="EB89" i="13"/>
  <c r="EA89" i="13"/>
  <c r="DX89" i="13"/>
  <c r="DW89" i="13"/>
  <c r="DU89" i="13"/>
  <c r="DT89" i="13"/>
  <c r="A89" i="13"/>
  <c r="EH88" i="13"/>
  <c r="EG88" i="13"/>
  <c r="EB88" i="13"/>
  <c r="EA88" i="13"/>
  <c r="DX88" i="13"/>
  <c r="DW88" i="13"/>
  <c r="DU88" i="13"/>
  <c r="DT88" i="13"/>
  <c r="A88" i="13"/>
  <c r="EH87" i="13"/>
  <c r="EG87" i="13"/>
  <c r="EB87" i="13"/>
  <c r="EA87" i="13"/>
  <c r="DX87" i="13"/>
  <c r="DW87" i="13"/>
  <c r="DU87" i="13"/>
  <c r="DT87" i="13"/>
  <c r="A87" i="13"/>
  <c r="EH86" i="13"/>
  <c r="EG86" i="13"/>
  <c r="EB86" i="13"/>
  <c r="EA86" i="13"/>
  <c r="DX86" i="13"/>
  <c r="DW86" i="13"/>
  <c r="DU86" i="13"/>
  <c r="DT86" i="13"/>
  <c r="A86" i="13"/>
  <c r="EH85" i="13"/>
  <c r="EG85" i="13"/>
  <c r="EB85" i="13"/>
  <c r="EA85" i="13"/>
  <c r="DX85" i="13"/>
  <c r="DW85" i="13"/>
  <c r="DU85" i="13"/>
  <c r="DT85" i="13"/>
  <c r="A85" i="13"/>
  <c r="EH84" i="13"/>
  <c r="EG84" i="13"/>
  <c r="EB84" i="13"/>
  <c r="EA84" i="13"/>
  <c r="DX84" i="13"/>
  <c r="DW84" i="13"/>
  <c r="DU84" i="13"/>
  <c r="DT84" i="13"/>
  <c r="A84" i="13"/>
  <c r="EH83" i="13"/>
  <c r="EG83" i="13"/>
  <c r="EB83" i="13"/>
  <c r="EA83" i="13"/>
  <c r="DX83" i="13"/>
  <c r="DW83" i="13"/>
  <c r="DU83" i="13"/>
  <c r="DT83" i="13"/>
  <c r="A83" i="13"/>
  <c r="EH82" i="13"/>
  <c r="EG82" i="13"/>
  <c r="EB82" i="13"/>
  <c r="EA82" i="13"/>
  <c r="DX82" i="13"/>
  <c r="DW82" i="13"/>
  <c r="DU82" i="13"/>
  <c r="DT82" i="13"/>
  <c r="A82" i="13"/>
  <c r="EH81" i="13"/>
  <c r="EG81" i="13"/>
  <c r="EB81" i="13"/>
  <c r="EA81" i="13"/>
  <c r="DX81" i="13"/>
  <c r="DW81" i="13"/>
  <c r="DU81" i="13"/>
  <c r="DT81" i="13"/>
  <c r="A81" i="13"/>
  <c r="EH80" i="13"/>
  <c r="EG80" i="13"/>
  <c r="EB80" i="13"/>
  <c r="EA80" i="13"/>
  <c r="DX80" i="13"/>
  <c r="DW80" i="13"/>
  <c r="DU80" i="13"/>
  <c r="DT80" i="13"/>
  <c r="A80" i="13"/>
  <c r="EH79" i="13"/>
  <c r="EG79" i="13"/>
  <c r="EB79" i="13"/>
  <c r="EA79" i="13"/>
  <c r="DX79" i="13"/>
  <c r="DW79" i="13"/>
  <c r="DU79" i="13"/>
  <c r="DT79" i="13"/>
  <c r="A79" i="13"/>
  <c r="EH78" i="13"/>
  <c r="EG78" i="13"/>
  <c r="EB78" i="13"/>
  <c r="EA78" i="13"/>
  <c r="DX78" i="13"/>
  <c r="DW78" i="13"/>
  <c r="DU78" i="13"/>
  <c r="DT78" i="13"/>
  <c r="A78" i="13"/>
  <c r="EH77" i="13"/>
  <c r="EG77" i="13"/>
  <c r="EB77" i="13"/>
  <c r="EA77" i="13"/>
  <c r="DX77" i="13"/>
  <c r="DW77" i="13"/>
  <c r="DU77" i="13"/>
  <c r="DT77" i="13"/>
  <c r="A77" i="13"/>
  <c r="EH76" i="13"/>
  <c r="EG76" i="13"/>
  <c r="EB76" i="13"/>
  <c r="EA76" i="13"/>
  <c r="DX76" i="13"/>
  <c r="DW76" i="13"/>
  <c r="DU76" i="13"/>
  <c r="DT76" i="13"/>
  <c r="A76" i="13"/>
  <c r="EH75" i="13"/>
  <c r="EG75" i="13"/>
  <c r="EB75" i="13"/>
  <c r="EA75" i="13"/>
  <c r="DX75" i="13"/>
  <c r="DW75" i="13"/>
  <c r="DU75" i="13"/>
  <c r="DT75" i="13"/>
  <c r="A75" i="13"/>
  <c r="EH74" i="13"/>
  <c r="EG74" i="13"/>
  <c r="EB74" i="13"/>
  <c r="EA74" i="13"/>
  <c r="DX74" i="13"/>
  <c r="DW74" i="13"/>
  <c r="DU74" i="13"/>
  <c r="DT74" i="13"/>
  <c r="A74" i="13"/>
  <c r="EH73" i="13"/>
  <c r="EG73" i="13"/>
  <c r="EB73" i="13"/>
  <c r="EA73" i="13"/>
  <c r="DX73" i="13"/>
  <c r="DW73" i="13"/>
  <c r="DU73" i="13"/>
  <c r="DT73" i="13"/>
  <c r="A73" i="13"/>
  <c r="EH72" i="13"/>
  <c r="EG72" i="13"/>
  <c r="EB72" i="13"/>
  <c r="EA72" i="13"/>
  <c r="DX72" i="13"/>
  <c r="DW72" i="13"/>
  <c r="DU72" i="13"/>
  <c r="DT72" i="13"/>
  <c r="A72" i="13"/>
  <c r="EH71" i="13"/>
  <c r="EG71" i="13"/>
  <c r="EB71" i="13"/>
  <c r="EA71" i="13"/>
  <c r="DX71" i="13"/>
  <c r="DW71" i="13"/>
  <c r="DU71" i="13"/>
  <c r="DT71" i="13"/>
  <c r="A71" i="13"/>
  <c r="EH70" i="13"/>
  <c r="EG70" i="13"/>
  <c r="EB70" i="13"/>
  <c r="EA70" i="13"/>
  <c r="DX70" i="13"/>
  <c r="DW70" i="13"/>
  <c r="DU70" i="13"/>
  <c r="DT70" i="13"/>
  <c r="A70" i="13"/>
  <c r="EH69" i="13"/>
  <c r="EG69" i="13"/>
  <c r="EB69" i="13"/>
  <c r="EA69" i="13"/>
  <c r="DX69" i="13"/>
  <c r="DW69" i="13"/>
  <c r="DU69" i="13"/>
  <c r="DT69" i="13"/>
  <c r="A69" i="13"/>
  <c r="EH68" i="13"/>
  <c r="EG68" i="13"/>
  <c r="EB68" i="13"/>
  <c r="EA68" i="13"/>
  <c r="DX68" i="13"/>
  <c r="DW68" i="13"/>
  <c r="DU68" i="13"/>
  <c r="DT68" i="13"/>
  <c r="A68" i="13"/>
  <c r="EH67" i="13"/>
  <c r="EG67" i="13"/>
  <c r="EB67" i="13"/>
  <c r="EA67" i="13"/>
  <c r="DX67" i="13"/>
  <c r="DW67" i="13"/>
  <c r="DU67" i="13"/>
  <c r="DT67" i="13"/>
  <c r="A67" i="13"/>
  <c r="EH66" i="13"/>
  <c r="EG66" i="13"/>
  <c r="EB66" i="13"/>
  <c r="EA66" i="13"/>
  <c r="DX66" i="13"/>
  <c r="DW66" i="13"/>
  <c r="DU66" i="13"/>
  <c r="DT66" i="13"/>
  <c r="A66" i="13"/>
  <c r="EH65" i="13"/>
  <c r="EG65" i="13"/>
  <c r="EB65" i="13"/>
  <c r="EA65" i="13"/>
  <c r="DX65" i="13"/>
  <c r="DW65" i="13"/>
  <c r="DU65" i="13"/>
  <c r="DT65" i="13"/>
  <c r="A65" i="13"/>
  <c r="EH64" i="13"/>
  <c r="EG64" i="13"/>
  <c r="EB64" i="13"/>
  <c r="EA64" i="13"/>
  <c r="DX64" i="13"/>
  <c r="DW64" i="13"/>
  <c r="DU64" i="13"/>
  <c r="DT64" i="13"/>
  <c r="A64" i="13"/>
  <c r="EH63" i="13"/>
  <c r="EG63" i="13"/>
  <c r="EB63" i="13"/>
  <c r="EA63" i="13"/>
  <c r="DX63" i="13"/>
  <c r="DW63" i="13"/>
  <c r="DU63" i="13"/>
  <c r="DT63" i="13"/>
  <c r="A63" i="13"/>
  <c r="EH62" i="13"/>
  <c r="EG62" i="13"/>
  <c r="EB62" i="13"/>
  <c r="EA62" i="13"/>
  <c r="DX62" i="13"/>
  <c r="DW62" i="13"/>
  <c r="DU62" i="13"/>
  <c r="DT62" i="13"/>
  <c r="A62" i="13"/>
  <c r="EH61" i="13"/>
  <c r="EG61" i="13"/>
  <c r="EB61" i="13"/>
  <c r="EA61" i="13"/>
  <c r="DX61" i="13"/>
  <c r="DW61" i="13"/>
  <c r="DU61" i="13"/>
  <c r="DT61" i="13"/>
  <c r="A61" i="13"/>
  <c r="EH60" i="13"/>
  <c r="EG60" i="13"/>
  <c r="EB60" i="13"/>
  <c r="EA60" i="13"/>
  <c r="DX60" i="13"/>
  <c r="DW60" i="13"/>
  <c r="DU60" i="13"/>
  <c r="DT60" i="13"/>
  <c r="A60" i="13"/>
  <c r="EH59" i="13"/>
  <c r="EG59" i="13"/>
  <c r="EB59" i="13"/>
  <c r="EA59" i="13"/>
  <c r="DX59" i="13"/>
  <c r="DW59" i="13"/>
  <c r="DU59" i="13"/>
  <c r="DT59" i="13"/>
  <c r="A59" i="13"/>
  <c r="EH58" i="13"/>
  <c r="EG58" i="13"/>
  <c r="EB58" i="13"/>
  <c r="EA58" i="13"/>
  <c r="DX58" i="13"/>
  <c r="DW58" i="13"/>
  <c r="DU58" i="13"/>
  <c r="DT58" i="13"/>
  <c r="A58" i="13"/>
  <c r="EH57" i="13"/>
  <c r="EG57" i="13"/>
  <c r="EB57" i="13"/>
  <c r="EA57" i="13"/>
  <c r="DX57" i="13"/>
  <c r="DW57" i="13"/>
  <c r="DU57" i="13"/>
  <c r="DT57" i="13"/>
  <c r="A57" i="13"/>
  <c r="EH56" i="13"/>
  <c r="EG56" i="13"/>
  <c r="EB56" i="13"/>
  <c r="EA56" i="13"/>
  <c r="DX56" i="13"/>
  <c r="DW56" i="13"/>
  <c r="DU56" i="13"/>
  <c r="DT56" i="13"/>
  <c r="A56" i="13"/>
  <c r="EH55" i="13"/>
  <c r="EG55" i="13"/>
  <c r="EB55" i="13"/>
  <c r="EA55" i="13"/>
  <c r="DX55" i="13"/>
  <c r="DW55" i="13"/>
  <c r="DU55" i="13"/>
  <c r="DT55" i="13"/>
  <c r="A55" i="13"/>
  <c r="EH54" i="13"/>
  <c r="EG54" i="13"/>
  <c r="EB54" i="13"/>
  <c r="EA54" i="13"/>
  <c r="DX54" i="13"/>
  <c r="DW54" i="13"/>
  <c r="DU54" i="13"/>
  <c r="DT54" i="13"/>
  <c r="A54" i="13"/>
  <c r="EH53" i="13"/>
  <c r="EG53" i="13"/>
  <c r="EB53" i="13"/>
  <c r="EA53" i="13"/>
  <c r="DX53" i="13"/>
  <c r="DW53" i="13"/>
  <c r="DU53" i="13"/>
  <c r="DT53" i="13"/>
  <c r="A53" i="13"/>
  <c r="EH52" i="13"/>
  <c r="EG52" i="13"/>
  <c r="EB52" i="13"/>
  <c r="EA52" i="13"/>
  <c r="DX52" i="13"/>
  <c r="DW52" i="13"/>
  <c r="DU52" i="13"/>
  <c r="DT52" i="13"/>
  <c r="A52" i="13"/>
  <c r="EH51" i="13"/>
  <c r="EG51" i="13"/>
  <c r="EB51" i="13"/>
  <c r="EA51" i="13"/>
  <c r="DX51" i="13"/>
  <c r="DW51" i="13"/>
  <c r="DU51" i="13"/>
  <c r="DT51" i="13"/>
  <c r="A51" i="13"/>
  <c r="EH50" i="13"/>
  <c r="EG50" i="13"/>
  <c r="EB50" i="13"/>
  <c r="EA50" i="13"/>
  <c r="DX50" i="13"/>
  <c r="DW50" i="13"/>
  <c r="DU50" i="13"/>
  <c r="DT50" i="13"/>
  <c r="A50" i="13"/>
  <c r="EH49" i="13"/>
  <c r="EG49" i="13"/>
  <c r="EB49" i="13"/>
  <c r="EA49" i="13"/>
  <c r="DX49" i="13"/>
  <c r="DW49" i="13"/>
  <c r="DU49" i="13"/>
  <c r="DT49" i="13"/>
  <c r="A49" i="13"/>
  <c r="EH48" i="13"/>
  <c r="EG48" i="13"/>
  <c r="EB48" i="13"/>
  <c r="EA48" i="13"/>
  <c r="DX48" i="13"/>
  <c r="DW48" i="13"/>
  <c r="DU48" i="13"/>
  <c r="DT48" i="13"/>
  <c r="A48" i="13"/>
  <c r="EH47" i="13"/>
  <c r="EG47" i="13"/>
  <c r="EB47" i="13"/>
  <c r="EA47" i="13"/>
  <c r="DX47" i="13"/>
  <c r="DW47" i="13"/>
  <c r="DU47" i="13"/>
  <c r="DT47" i="13"/>
  <c r="A47" i="13"/>
  <c r="EH46" i="13"/>
  <c r="EG46" i="13"/>
  <c r="EB46" i="13"/>
  <c r="EA46" i="13"/>
  <c r="DX46" i="13"/>
  <c r="DW46" i="13"/>
  <c r="DU46" i="13"/>
  <c r="DT46" i="13"/>
  <c r="A46" i="13"/>
  <c r="EH45" i="13"/>
  <c r="EG45" i="13"/>
  <c r="EB45" i="13"/>
  <c r="EA45" i="13"/>
  <c r="DX45" i="13"/>
  <c r="DW45" i="13"/>
  <c r="DU45" i="13"/>
  <c r="DT45" i="13"/>
  <c r="A45" i="13"/>
  <c r="EH44" i="13"/>
  <c r="EG44" i="13"/>
  <c r="EB44" i="13"/>
  <c r="EA44" i="13"/>
  <c r="DX44" i="13"/>
  <c r="DW44" i="13"/>
  <c r="DU44" i="13"/>
  <c r="DT44" i="13"/>
  <c r="A44" i="13"/>
  <c r="EH43" i="13"/>
  <c r="EG43" i="13"/>
  <c r="EB43" i="13"/>
  <c r="EA43" i="13"/>
  <c r="DX43" i="13"/>
  <c r="DW43" i="13"/>
  <c r="DU43" i="13"/>
  <c r="DT43" i="13"/>
  <c r="A43" i="13"/>
  <c r="EH42" i="13"/>
  <c r="EG42" i="13"/>
  <c r="EB42" i="13"/>
  <c r="EA42" i="13"/>
  <c r="DX42" i="13"/>
  <c r="DW42" i="13"/>
  <c r="DU42" i="13"/>
  <c r="DT42" i="13"/>
  <c r="A42" i="13"/>
  <c r="EH41" i="13"/>
  <c r="EG41" i="13"/>
  <c r="EB41" i="13"/>
  <c r="EA41" i="13"/>
  <c r="DX41" i="13"/>
  <c r="DW41" i="13"/>
  <c r="DU41" i="13"/>
  <c r="DT41" i="13"/>
  <c r="A41" i="13"/>
  <c r="EH40" i="13"/>
  <c r="EG40" i="13"/>
  <c r="EB40" i="13"/>
  <c r="EA40" i="13"/>
  <c r="DX40" i="13"/>
  <c r="DW40" i="13"/>
  <c r="DU40" i="13"/>
  <c r="DT40" i="13"/>
  <c r="A40" i="13"/>
  <c r="EH39" i="13"/>
  <c r="EG39" i="13"/>
  <c r="EB39" i="13"/>
  <c r="EA39" i="13"/>
  <c r="DX39" i="13"/>
  <c r="DW39" i="13"/>
  <c r="DU39" i="13"/>
  <c r="DT39" i="13"/>
  <c r="A39" i="13"/>
  <c r="EH38" i="13"/>
  <c r="EG38" i="13"/>
  <c r="EB38" i="13"/>
  <c r="EA38" i="13"/>
  <c r="DX38" i="13"/>
  <c r="DW38" i="13"/>
  <c r="DU38" i="13"/>
  <c r="DT38" i="13"/>
  <c r="A38" i="13"/>
  <c r="EH37" i="13"/>
  <c r="EG37" i="13"/>
  <c r="EB37" i="13"/>
  <c r="EA37" i="13"/>
  <c r="DX37" i="13"/>
  <c r="DW37" i="13"/>
  <c r="DU37" i="13"/>
  <c r="DT37" i="13"/>
  <c r="A37" i="13"/>
  <c r="EH36" i="13"/>
  <c r="EG36" i="13"/>
  <c r="EB36" i="13"/>
  <c r="EA36" i="13"/>
  <c r="DX36" i="13"/>
  <c r="DW36" i="13"/>
  <c r="DU36" i="13"/>
  <c r="DT36" i="13"/>
  <c r="A36" i="13"/>
  <c r="EH35" i="13"/>
  <c r="EG35" i="13"/>
  <c r="EB35" i="13"/>
  <c r="EA35" i="13"/>
  <c r="DX35" i="13"/>
  <c r="DW35" i="13"/>
  <c r="DU35" i="13"/>
  <c r="DT35" i="13"/>
  <c r="A35" i="13"/>
  <c r="EH34" i="13"/>
  <c r="EG34" i="13"/>
  <c r="EB34" i="13"/>
  <c r="EA34" i="13"/>
  <c r="DX34" i="13"/>
  <c r="DW34" i="13"/>
  <c r="DU34" i="13"/>
  <c r="DT34" i="13"/>
  <c r="A34" i="13"/>
  <c r="EH33" i="13"/>
  <c r="EG33" i="13"/>
  <c r="EB33" i="13"/>
  <c r="EA33" i="13"/>
  <c r="DX33" i="13"/>
  <c r="DW33" i="13"/>
  <c r="DU33" i="13"/>
  <c r="DT33" i="13"/>
  <c r="A33" i="13"/>
  <c r="EH32" i="13"/>
  <c r="EG32" i="13"/>
  <c r="EB32" i="13"/>
  <c r="EA32" i="13"/>
  <c r="DX32" i="13"/>
  <c r="DW32" i="13"/>
  <c r="DU32" i="13"/>
  <c r="DT32" i="13"/>
  <c r="A32" i="13"/>
  <c r="EH31" i="13"/>
  <c r="EG31" i="13"/>
  <c r="EB31" i="13"/>
  <c r="EA31" i="13"/>
  <c r="DX31" i="13"/>
  <c r="DW31" i="13"/>
  <c r="DU31" i="13"/>
  <c r="DT31" i="13"/>
  <c r="A31" i="13"/>
  <c r="EH30" i="13"/>
  <c r="EG30" i="13"/>
  <c r="EB30" i="13"/>
  <c r="EA30" i="13"/>
  <c r="EC30" i="13" s="1"/>
  <c r="EE30" i="13" s="1"/>
  <c r="DX30" i="13"/>
  <c r="DW30" i="13"/>
  <c r="DU30" i="13"/>
  <c r="DT30" i="13"/>
  <c r="A30" i="13"/>
  <c r="EH29" i="13"/>
  <c r="EG29" i="13"/>
  <c r="EB29" i="13"/>
  <c r="EA29" i="13"/>
  <c r="DX29" i="13"/>
  <c r="DW29" i="13"/>
  <c r="DU29" i="13"/>
  <c r="DT29" i="13"/>
  <c r="A29" i="13"/>
  <c r="EH28" i="13"/>
  <c r="EG28" i="13"/>
  <c r="EB28" i="13"/>
  <c r="EA28" i="13"/>
  <c r="DX28" i="13"/>
  <c r="DW28" i="13"/>
  <c r="DU28" i="13"/>
  <c r="DT28" i="13"/>
  <c r="A28" i="13"/>
  <c r="EH27" i="13"/>
  <c r="EG27" i="13"/>
  <c r="EB27" i="13"/>
  <c r="EA27" i="13"/>
  <c r="DX27" i="13"/>
  <c r="DW27" i="13"/>
  <c r="DU27" i="13"/>
  <c r="DT27" i="13"/>
  <c r="A27" i="13"/>
  <c r="EH26" i="13"/>
  <c r="EG26" i="13"/>
  <c r="EB26" i="13"/>
  <c r="EA26" i="13"/>
  <c r="DX26" i="13"/>
  <c r="DW26" i="13"/>
  <c r="DU26" i="13"/>
  <c r="DT26" i="13"/>
  <c r="A26" i="13"/>
  <c r="EH25" i="13"/>
  <c r="EG25" i="13"/>
  <c r="EB25" i="13"/>
  <c r="EA25" i="13"/>
  <c r="DX25" i="13"/>
  <c r="DW25" i="13"/>
  <c r="DU25" i="13"/>
  <c r="DT25" i="13"/>
  <c r="A25" i="13"/>
  <c r="EH24" i="13"/>
  <c r="EG24" i="13"/>
  <c r="EB24" i="13"/>
  <c r="EA24" i="13"/>
  <c r="DX24" i="13"/>
  <c r="DW24" i="13"/>
  <c r="DU24" i="13"/>
  <c r="DT24" i="13"/>
  <c r="A24" i="13"/>
  <c r="EH23" i="13"/>
  <c r="EG23" i="13"/>
  <c r="EB23" i="13"/>
  <c r="EA23" i="13"/>
  <c r="DX23" i="13"/>
  <c r="DW23" i="13"/>
  <c r="DU23" i="13"/>
  <c r="DT23" i="13"/>
  <c r="A23" i="13"/>
  <c r="EH22" i="13"/>
  <c r="EG22" i="13"/>
  <c r="EB22" i="13"/>
  <c r="EA22" i="13"/>
  <c r="DX22" i="13"/>
  <c r="DW22" i="13"/>
  <c r="DU22" i="13"/>
  <c r="DT22" i="13"/>
  <c r="A22" i="13"/>
  <c r="EH21" i="13"/>
  <c r="EG21" i="13"/>
  <c r="EB21" i="13"/>
  <c r="EA21" i="13"/>
  <c r="DX21" i="13"/>
  <c r="DW21" i="13"/>
  <c r="DU21" i="13"/>
  <c r="DT21" i="13"/>
  <c r="A21" i="13"/>
  <c r="EH20" i="13"/>
  <c r="EG20" i="13"/>
  <c r="EB20" i="13"/>
  <c r="EA20" i="13"/>
  <c r="DX20" i="13"/>
  <c r="DW20" i="13"/>
  <c r="DU20" i="13"/>
  <c r="DT20" i="13"/>
  <c r="A20" i="13"/>
  <c r="EH19" i="13"/>
  <c r="EG19" i="13"/>
  <c r="EB19" i="13"/>
  <c r="EA19" i="13"/>
  <c r="DX19" i="13"/>
  <c r="DW19" i="13"/>
  <c r="DU19" i="13"/>
  <c r="DT19" i="13"/>
  <c r="A19" i="13"/>
  <c r="EH18" i="13"/>
  <c r="EG18" i="13"/>
  <c r="EB18" i="13"/>
  <c r="EA18" i="13"/>
  <c r="DX18" i="13"/>
  <c r="DW18" i="13"/>
  <c r="DU18" i="13"/>
  <c r="DT18" i="13"/>
  <c r="A18" i="13"/>
  <c r="EH17" i="13"/>
  <c r="EG17" i="13"/>
  <c r="EB17" i="13"/>
  <c r="EA17" i="13"/>
  <c r="DX17" i="13"/>
  <c r="DW17" i="13"/>
  <c r="DU17" i="13"/>
  <c r="DT17" i="13"/>
  <c r="A17" i="13"/>
  <c r="EH16" i="13"/>
  <c r="EG16" i="13"/>
  <c r="EB16" i="13"/>
  <c r="EA16" i="13"/>
  <c r="DX16" i="13"/>
  <c r="DW16" i="13"/>
  <c r="DU16" i="13"/>
  <c r="DT16" i="13"/>
  <c r="A16" i="13"/>
  <c r="EH15" i="13"/>
  <c r="EG15" i="13"/>
  <c r="EB15" i="13"/>
  <c r="EA15" i="13"/>
  <c r="DX15" i="13"/>
  <c r="DW15" i="13"/>
  <c r="DU15" i="13"/>
  <c r="DT15" i="13"/>
  <c r="A15" i="13"/>
  <c r="EH14" i="13"/>
  <c r="EG14" i="13"/>
  <c r="EB14" i="13"/>
  <c r="EA14" i="13"/>
  <c r="DX14" i="13"/>
  <c r="DW14" i="13"/>
  <c r="DU14" i="13"/>
  <c r="DT14" i="13"/>
  <c r="A14" i="13"/>
  <c r="EH13" i="13"/>
  <c r="EG13" i="13"/>
  <c r="EB13" i="13"/>
  <c r="EA13" i="13"/>
  <c r="DX13" i="13"/>
  <c r="DW13" i="13"/>
  <c r="DU13" i="13"/>
  <c r="DT13" i="13"/>
  <c r="DV13" i="13" s="1"/>
  <c r="A13" i="13"/>
  <c r="EH12" i="13"/>
  <c r="EG12" i="13"/>
  <c r="EB12" i="13"/>
  <c r="EA12" i="13"/>
  <c r="DX12" i="13"/>
  <c r="DW12" i="13"/>
  <c r="DU12" i="13"/>
  <c r="DT12" i="13"/>
  <c r="A12" i="13"/>
  <c r="EH11" i="13"/>
  <c r="EG11" i="13"/>
  <c r="EB11" i="13"/>
  <c r="EA11" i="13"/>
  <c r="DX11" i="13"/>
  <c r="DW11" i="13"/>
  <c r="DU11" i="13"/>
  <c r="DT11" i="13"/>
  <c r="A11" i="13"/>
  <c r="EH10" i="13"/>
  <c r="EG10" i="13"/>
  <c r="EB10" i="13"/>
  <c r="EA10" i="13"/>
  <c r="DX10" i="13"/>
  <c r="DW10" i="13"/>
  <c r="DU10" i="13"/>
  <c r="DT10" i="13"/>
  <c r="A10" i="13"/>
  <c r="EH9" i="13"/>
  <c r="EG9" i="13"/>
  <c r="EB9" i="13"/>
  <c r="EA9" i="13"/>
  <c r="DX9" i="13"/>
  <c r="DW9" i="13"/>
  <c r="DU9" i="13"/>
  <c r="DT9" i="13"/>
  <c r="A9" i="13"/>
  <c r="CQ8" i="13"/>
  <c r="CP8" i="13"/>
  <c r="CO8" i="13"/>
  <c r="CM8" i="13"/>
  <c r="CK8" i="13"/>
  <c r="CJ8" i="13"/>
  <c r="CI8" i="13"/>
  <c r="CH8" i="13"/>
  <c r="CG8" i="13"/>
  <c r="CF8" i="13"/>
  <c r="CE8" i="13"/>
  <c r="CD8" i="13"/>
  <c r="CC8" i="13"/>
  <c r="CB8" i="13"/>
  <c r="CA8" i="13"/>
  <c r="BZ8" i="13"/>
  <c r="BY8" i="13"/>
  <c r="BX8" i="13"/>
  <c r="BW8" i="13"/>
  <c r="BV8" i="13"/>
  <c r="BU8" i="13"/>
  <c r="BT8" i="13"/>
  <c r="BS8" i="13"/>
  <c r="BR8" i="13"/>
  <c r="BQ8" i="13"/>
  <c r="BP8" i="13"/>
  <c r="BO8" i="13"/>
  <c r="BN8" i="13"/>
  <c r="BM8" i="13"/>
  <c r="BL8" i="13"/>
  <c r="BK8" i="13"/>
  <c r="BJ8" i="13"/>
  <c r="BI8" i="13"/>
  <c r="BH8" i="13"/>
  <c r="BG8" i="13"/>
  <c r="BF8" i="13"/>
  <c r="BE8" i="13"/>
  <c r="BD8" i="13"/>
  <c r="BC8" i="13"/>
  <c r="BB8" i="13"/>
  <c r="BA8" i="13"/>
  <c r="AZ8" i="13"/>
  <c r="AY8" i="13"/>
  <c r="AX8" i="13"/>
  <c r="AW8" i="13"/>
  <c r="AV8" i="13"/>
  <c r="AU8" i="13"/>
  <c r="AT8" i="13"/>
  <c r="AS8" i="13"/>
  <c r="AR8" i="13"/>
  <c r="AQ8" i="13"/>
  <c r="AP8" i="13"/>
  <c r="AO8" i="13"/>
  <c r="AN8" i="13"/>
  <c r="AM8" i="13"/>
  <c r="AL8" i="13"/>
  <c r="AK8" i="13"/>
  <c r="AJ8" i="13"/>
  <c r="AI8" i="13"/>
  <c r="AH8" i="13"/>
  <c r="AG8" i="13"/>
  <c r="AF8" i="13"/>
  <c r="AE8" i="13"/>
  <c r="AD8" i="13"/>
  <c r="AC8" i="13"/>
  <c r="AB8" i="13"/>
  <c r="AA8" i="13"/>
  <c r="Z8" i="13"/>
  <c r="Y8" i="13"/>
  <c r="CN2" i="13"/>
  <c r="CN3" i="13" s="1"/>
  <c r="CL2" i="13"/>
  <c r="CM2" i="13" s="1"/>
  <c r="AA2" i="13"/>
  <c r="Z2" i="13"/>
  <c r="EC46" i="13" l="1"/>
  <c r="EE46" i="13" s="1"/>
  <c r="DV21" i="13"/>
  <c r="EI47" i="13"/>
  <c r="EK47" i="13" s="1"/>
  <c r="EC49" i="13"/>
  <c r="EE49" i="13" s="1"/>
  <c r="DY51" i="13"/>
  <c r="EC65" i="13"/>
  <c r="EE65" i="13" s="1"/>
  <c r="DV69" i="13"/>
  <c r="EI71" i="13"/>
  <c r="EK71" i="13" s="1"/>
  <c r="EC73" i="13"/>
  <c r="EE73" i="13" s="1"/>
  <c r="DV77" i="13"/>
  <c r="EC81" i="13"/>
  <c r="EE81" i="13" s="1"/>
  <c r="EC90" i="13"/>
  <c r="EE90" i="13" s="1"/>
  <c r="DY92" i="13"/>
  <c r="DV94" i="13"/>
  <c r="DY14" i="13"/>
  <c r="DV54" i="13"/>
  <c r="F16" i="10"/>
  <c r="E16" i="10"/>
  <c r="I16" i="10"/>
  <c r="H16" i="10"/>
  <c r="G16" i="10"/>
  <c r="D16" i="10"/>
  <c r="EC56" i="13"/>
  <c r="EE56" i="13" s="1"/>
  <c r="DY13" i="13"/>
  <c r="EC60" i="13"/>
  <c r="EE60" i="13" s="1"/>
  <c r="DV64" i="13"/>
  <c r="EI13" i="13"/>
  <c r="EK13" i="13" s="1"/>
  <c r="DV19" i="13"/>
  <c r="DV27" i="13"/>
  <c r="EI29" i="13"/>
  <c r="EK29" i="13" s="1"/>
  <c r="EI53" i="13"/>
  <c r="EK53" i="13" s="1"/>
  <c r="DY65" i="13"/>
  <c r="DV67" i="13"/>
  <c r="EI39" i="13"/>
  <c r="EK39" i="13" s="1"/>
  <c r="DV40" i="13"/>
  <c r="DY54" i="13"/>
  <c r="DV56" i="13"/>
  <c r="EI66" i="13"/>
  <c r="EK66" i="13" s="1"/>
  <c r="DY70" i="13"/>
  <c r="DV72" i="13"/>
  <c r="EC84" i="13"/>
  <c r="EE84" i="13" s="1"/>
  <c r="EI77" i="13"/>
  <c r="EK77" i="13" s="1"/>
  <c r="EC79" i="13"/>
  <c r="EE79" i="13" s="1"/>
  <c r="DY81" i="13"/>
  <c r="DV83" i="13"/>
  <c r="DY89" i="13"/>
  <c r="EC12" i="13"/>
  <c r="EE12" i="13" s="1"/>
  <c r="DY38" i="13"/>
  <c r="DY39" i="13"/>
  <c r="DV49" i="13"/>
  <c r="DV57" i="13"/>
  <c r="EI59" i="13"/>
  <c r="EK59" i="13" s="1"/>
  <c r="DY63" i="13"/>
  <c r="DV65" i="13"/>
  <c r="DY71" i="13"/>
  <c r="DV73" i="13"/>
  <c r="DY79" i="13"/>
  <c r="EI99" i="13"/>
  <c r="EK99" i="13" s="1"/>
  <c r="EI76" i="13"/>
  <c r="EK76" i="13" s="1"/>
  <c r="DY41" i="13"/>
  <c r="DV51" i="13"/>
  <c r="DV99" i="13"/>
  <c r="DY72" i="13"/>
  <c r="EI100" i="13"/>
  <c r="EK100" i="13" s="1"/>
  <c r="EI103" i="13"/>
  <c r="EK103" i="13" s="1"/>
  <c r="Y228" i="13"/>
  <c r="EI60" i="13"/>
  <c r="EK60" i="13" s="1"/>
  <c r="DV66" i="13"/>
  <c r="EI68" i="13"/>
  <c r="EK68" i="13" s="1"/>
  <c r="DY12" i="13"/>
  <c r="EI32" i="13"/>
  <c r="EK32" i="13" s="1"/>
  <c r="DV38" i="13"/>
  <c r="DV46" i="13"/>
  <c r="EI48" i="13"/>
  <c r="EK48" i="13" s="1"/>
  <c r="DV53" i="13"/>
  <c r="EI25" i="13"/>
  <c r="EK25" i="13" s="1"/>
  <c r="EC35" i="13"/>
  <c r="EE35" i="13" s="1"/>
  <c r="DY37" i="13"/>
  <c r="DV55" i="13"/>
  <c r="EI57" i="13"/>
  <c r="EK57" i="13" s="1"/>
  <c r="EC59" i="13"/>
  <c r="EE59" i="13" s="1"/>
  <c r="EI73" i="13"/>
  <c r="EK73" i="13" s="1"/>
  <c r="EI88" i="13"/>
  <c r="EK88" i="13" s="1"/>
  <c r="EI89" i="13"/>
  <c r="EK89" i="13" s="1"/>
  <c r="EC91" i="13"/>
  <c r="EE91" i="13" s="1"/>
  <c r="EI97" i="13"/>
  <c r="EK97" i="13" s="1"/>
  <c r="DY17" i="13"/>
  <c r="DY86" i="13"/>
  <c r="DV14" i="13"/>
  <c r="EI23" i="13"/>
  <c r="EK23" i="13" s="1"/>
  <c r="DV42" i="13"/>
  <c r="DV43" i="13"/>
  <c r="DY49" i="13"/>
  <c r="EC54" i="13"/>
  <c r="EE54" i="13" s="1"/>
  <c r="DY56" i="13"/>
  <c r="EI90" i="13"/>
  <c r="EK90" i="13" s="1"/>
  <c r="DY94" i="13"/>
  <c r="DV96" i="13"/>
  <c r="DV101" i="13"/>
  <c r="Z228" i="13"/>
  <c r="DV18" i="13"/>
  <c r="EI16" i="13"/>
  <c r="EK16" i="13" s="1"/>
  <c r="DY20" i="13"/>
  <c r="DV44" i="13"/>
  <c r="DY50" i="13"/>
  <c r="DV52" i="13"/>
  <c r="EI85" i="13"/>
  <c r="EK85" i="13" s="1"/>
  <c r="AA228" i="13"/>
  <c r="DV75" i="13"/>
  <c r="EI78" i="13"/>
  <c r="EK78" i="13" s="1"/>
  <c r="EI86" i="13"/>
  <c r="EK86" i="13" s="1"/>
  <c r="EC94" i="13"/>
  <c r="EE94" i="13" s="1"/>
  <c r="DV97" i="13"/>
  <c r="DY102" i="13"/>
  <c r="EC52" i="13"/>
  <c r="EE52" i="13" s="1"/>
  <c r="DY69" i="13"/>
  <c r="DV30" i="13"/>
  <c r="DV45" i="13"/>
  <c r="DY9" i="13"/>
  <c r="DV11" i="13"/>
  <c r="EI12" i="13"/>
  <c r="EK12" i="13" s="1"/>
  <c r="EC20" i="13"/>
  <c r="EE20" i="13" s="1"/>
  <c r="EC21" i="13"/>
  <c r="EE21" i="13" s="1"/>
  <c r="EC28" i="13"/>
  <c r="EE28" i="13" s="1"/>
  <c r="DY29" i="13"/>
  <c r="EI41" i="13"/>
  <c r="EK41" i="13" s="1"/>
  <c r="EI56" i="13"/>
  <c r="EK56" i="13" s="1"/>
  <c r="DV62" i="13"/>
  <c r="DY68" i="13"/>
  <c r="EI72" i="13"/>
  <c r="EK72" i="13" s="1"/>
  <c r="EC74" i="13"/>
  <c r="EE74" i="13" s="1"/>
  <c r="DY84" i="13"/>
  <c r="DV85" i="13"/>
  <c r="DY90" i="13"/>
  <c r="DV91" i="13"/>
  <c r="DV92" i="13"/>
  <c r="EI93" i="13"/>
  <c r="EK93" i="13" s="1"/>
  <c r="DY97" i="13"/>
  <c r="EI10" i="13"/>
  <c r="EK10" i="13" s="1"/>
  <c r="EI18" i="13"/>
  <c r="EK18" i="13" s="1"/>
  <c r="DY21" i="13"/>
  <c r="EI30" i="13"/>
  <c r="EK30" i="13" s="1"/>
  <c r="EC32" i="13"/>
  <c r="EE32" i="13" s="1"/>
  <c r="DY34" i="13"/>
  <c r="EC39" i="13"/>
  <c r="EE39" i="13" s="1"/>
  <c r="DY40" i="13"/>
  <c r="EI43" i="13"/>
  <c r="EK43" i="13" s="1"/>
  <c r="EC44" i="13"/>
  <c r="EE44" i="13" s="1"/>
  <c r="DY46" i="13"/>
  <c r="EI49" i="13"/>
  <c r="EK49" i="13" s="1"/>
  <c r="EC51" i="13"/>
  <c r="EE51" i="13" s="1"/>
  <c r="EI55" i="13"/>
  <c r="EK55" i="13" s="1"/>
  <c r="DY58" i="13"/>
  <c r="DV10" i="13"/>
  <c r="EI64" i="13"/>
  <c r="EK64" i="13" s="1"/>
  <c r="EI19" i="13"/>
  <c r="EK19" i="13" s="1"/>
  <c r="DY22" i="13"/>
  <c r="EI26" i="13"/>
  <c r="EK26" i="13" s="1"/>
  <c r="EC27" i="13"/>
  <c r="EE27" i="13" s="1"/>
  <c r="EI31" i="13"/>
  <c r="EK31" i="13" s="1"/>
  <c r="DV37" i="13"/>
  <c r="EC45" i="13"/>
  <c r="EE45" i="13" s="1"/>
  <c r="EI50" i="13"/>
  <c r="EK50" i="13" s="1"/>
  <c r="EC57" i="13"/>
  <c r="EE57" i="13" s="1"/>
  <c r="DV61" i="13"/>
  <c r="EI63" i="13"/>
  <c r="EK63" i="13" s="1"/>
  <c r="EI69" i="13"/>
  <c r="EK69" i="13" s="1"/>
  <c r="DY73" i="13"/>
  <c r="DY80" i="13"/>
  <c r="EC85" i="13"/>
  <c r="EE85" i="13" s="1"/>
  <c r="DV87" i="13"/>
  <c r="EC89" i="13"/>
  <c r="EE89" i="13" s="1"/>
  <c r="DY91" i="13"/>
  <c r="DV93" i="13"/>
  <c r="EC99" i="13"/>
  <c r="EE99" i="13" s="1"/>
  <c r="DV102" i="13"/>
  <c r="DV12" i="13"/>
  <c r="DV15" i="13"/>
  <c r="EC17" i="13"/>
  <c r="EE17" i="13" s="1"/>
  <c r="DY24" i="13"/>
  <c r="DY25" i="13"/>
  <c r="DV26" i="13"/>
  <c r="DY30" i="13"/>
  <c r="DV32" i="13"/>
  <c r="EI34" i="13"/>
  <c r="EK34" i="13" s="1"/>
  <c r="EC36" i="13"/>
  <c r="EE36" i="13" s="1"/>
  <c r="DV39" i="13"/>
  <c r="EI40" i="13"/>
  <c r="EK40" i="13" s="1"/>
  <c r="EC41" i="13"/>
  <c r="EE41" i="13" s="1"/>
  <c r="DY43" i="13"/>
  <c r="DV50" i="13"/>
  <c r="EC53" i="13"/>
  <c r="EE53" i="13" s="1"/>
  <c r="DY55" i="13"/>
  <c r="EI65" i="13"/>
  <c r="EK65" i="13" s="1"/>
  <c r="EC67" i="13"/>
  <c r="EE67" i="13" s="1"/>
  <c r="DV70" i="13"/>
  <c r="EC86" i="13"/>
  <c r="EE86" i="13" s="1"/>
  <c r="DY88" i="13"/>
  <c r="DV89" i="13"/>
  <c r="DY93" i="13"/>
  <c r="EC96" i="13"/>
  <c r="EE96" i="13" s="1"/>
  <c r="DV98" i="13"/>
  <c r="CL228" i="13"/>
  <c r="CL232" i="13" s="1"/>
  <c r="EI15" i="13"/>
  <c r="EK15" i="13" s="1"/>
  <c r="DY48" i="13"/>
  <c r="EC9" i="13"/>
  <c r="EE9" i="13" s="1"/>
  <c r="DY11" i="13"/>
  <c r="EI22" i="13"/>
  <c r="EK22" i="13" s="1"/>
  <c r="DY31" i="13"/>
  <c r="DV33" i="13"/>
  <c r="EI35" i="13"/>
  <c r="EK35" i="13" s="1"/>
  <c r="EC37" i="13"/>
  <c r="EE37" i="13" s="1"/>
  <c r="DV78" i="13"/>
  <c r="EI79" i="13"/>
  <c r="EK79" i="13" s="1"/>
  <c r="EI80" i="13"/>
  <c r="EK80" i="13" s="1"/>
  <c r="EC93" i="13"/>
  <c r="EE93" i="13" s="1"/>
  <c r="EI96" i="13"/>
  <c r="EK96" i="13" s="1"/>
  <c r="DY98" i="13"/>
  <c r="CN228" i="13"/>
  <c r="DY64" i="13"/>
  <c r="EI67" i="13"/>
  <c r="EK67" i="13" s="1"/>
  <c r="EI101" i="13"/>
  <c r="EK101" i="13" s="1"/>
  <c r="EI20" i="13"/>
  <c r="EK20" i="13" s="1"/>
  <c r="EC40" i="13"/>
  <c r="EE40" i="13" s="1"/>
  <c r="CO2" i="13"/>
  <c r="CO3" i="13" s="1"/>
  <c r="EC11" i="13"/>
  <c r="EE11" i="13" s="1"/>
  <c r="EC14" i="13"/>
  <c r="EE14" i="13" s="1"/>
  <c r="DY16" i="13"/>
  <c r="EC19" i="13"/>
  <c r="EE19" i="13" s="1"/>
  <c r="DV22" i="13"/>
  <c r="EI24" i="13"/>
  <c r="EK24" i="13" s="1"/>
  <c r="DY27" i="13"/>
  <c r="DV29" i="13"/>
  <c r="DY32" i="13"/>
  <c r="DY33" i="13"/>
  <c r="DV35" i="13"/>
  <c r="EI36" i="13"/>
  <c r="EK36" i="13" s="1"/>
  <c r="EI37" i="13"/>
  <c r="EK37" i="13" s="1"/>
  <c r="DV41" i="13"/>
  <c r="EC43" i="13"/>
  <c r="EE43" i="13" s="1"/>
  <c r="DY52" i="13"/>
  <c r="DY57" i="13"/>
  <c r="DV59" i="13"/>
  <c r="EC63" i="13"/>
  <c r="EE63" i="13" s="1"/>
  <c r="EC70" i="13"/>
  <c r="EE70" i="13" s="1"/>
  <c r="EC75" i="13"/>
  <c r="EE75" i="13" s="1"/>
  <c r="EC76" i="13"/>
  <c r="EE76" i="13" s="1"/>
  <c r="DY78" i="13"/>
  <c r="DV80" i="13"/>
  <c r="EI82" i="13"/>
  <c r="EK82" i="13" s="1"/>
  <c r="EC83" i="13"/>
  <c r="EE83" i="13" s="1"/>
  <c r="DV86" i="13"/>
  <c r="EI87" i="13"/>
  <c r="EK87" i="13" s="1"/>
  <c r="EC88" i="13"/>
  <c r="EE88" i="13" s="1"/>
  <c r="DV90" i="13"/>
  <c r="DY95" i="13"/>
  <c r="DY99" i="13"/>
  <c r="DY10" i="13"/>
  <c r="DY18" i="13"/>
  <c r="EI28" i="13"/>
  <c r="EK28" i="13" s="1"/>
  <c r="EC29" i="13"/>
  <c r="EE29" i="13" s="1"/>
  <c r="EI33" i="13"/>
  <c r="EK33" i="13" s="1"/>
  <c r="EC47" i="13"/>
  <c r="EE47" i="13" s="1"/>
  <c r="DY53" i="13"/>
  <c r="EI58" i="13"/>
  <c r="EK58" i="13" s="1"/>
  <c r="DY60" i="13"/>
  <c r="EI61" i="13"/>
  <c r="EK61" i="13" s="1"/>
  <c r="EC62" i="13"/>
  <c r="EE62" i="13" s="1"/>
  <c r="DY66" i="13"/>
  <c r="EC69" i="13"/>
  <c r="EE69" i="13" s="1"/>
  <c r="DY75" i="13"/>
  <c r="DV76" i="13"/>
  <c r="DV79" i="13"/>
  <c r="EC80" i="13"/>
  <c r="EE80" i="13" s="1"/>
  <c r="EC87" i="13"/>
  <c r="EE87" i="13" s="1"/>
  <c r="EI92" i="13"/>
  <c r="EK92" i="13" s="1"/>
  <c r="DV100" i="13"/>
  <c r="EC102" i="13"/>
  <c r="EE102" i="13" s="1"/>
  <c r="DV95" i="13"/>
  <c r="EI98" i="13"/>
  <c r="EK98" i="13" s="1"/>
  <c r="DY100" i="13"/>
  <c r="EC10" i="13"/>
  <c r="EE10" i="13" s="1"/>
  <c r="EC13" i="13"/>
  <c r="EE13" i="13" s="1"/>
  <c r="EI17" i="13"/>
  <c r="EK17" i="13" s="1"/>
  <c r="EC18" i="13"/>
  <c r="EE18" i="13" s="1"/>
  <c r="DY19" i="13"/>
  <c r="DV23" i="13"/>
  <c r="EC24" i="13"/>
  <c r="EE24" i="13" s="1"/>
  <c r="DV31" i="13"/>
  <c r="EC38" i="13"/>
  <c r="EE38" i="13" s="1"/>
  <c r="DY42" i="13"/>
  <c r="EI52" i="13"/>
  <c r="EK52" i="13" s="1"/>
  <c r="DY67" i="13"/>
  <c r="DV71" i="13"/>
  <c r="EC72" i="13"/>
  <c r="EE72" i="13" s="1"/>
  <c r="EI74" i="13"/>
  <c r="EK74" i="13" s="1"/>
  <c r="DY76" i="13"/>
  <c r="EC78" i="13"/>
  <c r="EE78" i="13" s="1"/>
  <c r="DV82" i="13"/>
  <c r="EI83" i="13"/>
  <c r="EK83" i="13" s="1"/>
  <c r="DY85" i="13"/>
  <c r="DY45" i="13"/>
  <c r="DV58" i="13"/>
  <c r="DY82" i="13"/>
  <c r="EC100" i="13"/>
  <c r="EE100" i="13" s="1"/>
  <c r="EI102" i="13"/>
  <c r="EK102" i="13" s="1"/>
  <c r="EC16" i="13"/>
  <c r="EE16" i="13" s="1"/>
  <c r="DY23" i="13"/>
  <c r="DV24" i="13"/>
  <c r="DY26" i="13"/>
  <c r="DV34" i="13"/>
  <c r="DV47" i="13"/>
  <c r="EC48" i="13"/>
  <c r="EE48" i="13" s="1"/>
  <c r="DV74" i="13"/>
  <c r="EI84" i="13"/>
  <c r="EK84" i="13" s="1"/>
  <c r="DY101" i="13"/>
  <c r="EI21" i="13"/>
  <c r="EK21" i="13" s="1"/>
  <c r="EC22" i="13"/>
  <c r="EE22" i="13" s="1"/>
  <c r="EC25" i="13"/>
  <c r="EE25" i="13" s="1"/>
  <c r="EI44" i="13"/>
  <c r="EK44" i="13" s="1"/>
  <c r="EC55" i="13"/>
  <c r="EE55" i="13" s="1"/>
  <c r="DY61" i="13"/>
  <c r="DV63" i="13"/>
  <c r="EC64" i="13"/>
  <c r="EE64" i="13" s="1"/>
  <c r="DY74" i="13"/>
  <c r="EI75" i="13"/>
  <c r="EK75" i="13" s="1"/>
  <c r="DY77" i="13"/>
  <c r="EC82" i="13"/>
  <c r="EE82" i="13" s="1"/>
  <c r="DY83" i="13"/>
  <c r="DV84" i="13"/>
  <c r="EC92" i="13"/>
  <c r="EE92" i="13" s="1"/>
  <c r="EI94" i="13"/>
  <c r="EK94" i="13" s="1"/>
  <c r="EC95" i="13"/>
  <c r="EE95" i="13" s="1"/>
  <c r="EC101" i="13"/>
  <c r="EE101" i="13" s="1"/>
  <c r="EI11" i="13"/>
  <c r="EK11" i="13" s="1"/>
  <c r="DY15" i="13"/>
  <c r="DV16" i="13"/>
  <c r="EC23" i="13"/>
  <c r="EE23" i="13" s="1"/>
  <c r="EC26" i="13"/>
  <c r="EE26" i="13" s="1"/>
  <c r="EC31" i="13"/>
  <c r="EE31" i="13" s="1"/>
  <c r="EC33" i="13"/>
  <c r="EE33" i="13" s="1"/>
  <c r="DY35" i="13"/>
  <c r="EI42" i="13"/>
  <c r="EK42" i="13" s="1"/>
  <c r="DY44" i="13"/>
  <c r="EI45" i="13"/>
  <c r="EK45" i="13" s="1"/>
  <c r="DY47" i="13"/>
  <c r="DV48" i="13"/>
  <c r="EI51" i="13"/>
  <c r="EK51" i="13" s="1"/>
  <c r="DY59" i="13"/>
  <c r="DV60" i="13"/>
  <c r="EC61" i="13"/>
  <c r="EE61" i="13" s="1"/>
  <c r="DY62" i="13"/>
  <c r="EC68" i="13"/>
  <c r="EE68" i="13" s="1"/>
  <c r="EI70" i="13"/>
  <c r="EK70" i="13" s="1"/>
  <c r="EC71" i="13"/>
  <c r="EE71" i="13" s="1"/>
  <c r="EC77" i="13"/>
  <c r="EE77" i="13" s="1"/>
  <c r="DV81" i="13"/>
  <c r="EI81" i="13"/>
  <c r="EK81" i="13" s="1"/>
  <c r="DY87" i="13"/>
  <c r="DV88" i="13"/>
  <c r="EI91" i="13"/>
  <c r="EK91" i="13" s="1"/>
  <c r="EC98" i="13"/>
  <c r="EE98" i="13" s="1"/>
  <c r="EC103" i="13"/>
  <c r="EE103" i="13" s="1"/>
  <c r="DV9" i="13"/>
  <c r="DV20" i="13"/>
  <c r="DY28" i="13"/>
  <c r="EG105" i="13"/>
  <c r="EI14" i="13"/>
  <c r="EK14" i="13" s="1"/>
  <c r="EC15" i="13"/>
  <c r="EE15" i="13" s="1"/>
  <c r="EI27" i="13"/>
  <c r="EK27" i="13" s="1"/>
  <c r="EC34" i="13"/>
  <c r="EE34" i="13" s="1"/>
  <c r="EI38" i="13"/>
  <c r="EK38" i="13" s="1"/>
  <c r="EI46" i="13"/>
  <c r="EK46" i="13" s="1"/>
  <c r="EI54" i="13"/>
  <c r="EK54" i="13" s="1"/>
  <c r="EI62" i="13"/>
  <c r="EK62" i="13" s="1"/>
  <c r="DV25" i="13"/>
  <c r="DV36" i="13"/>
  <c r="EC42" i="13"/>
  <c r="EE42" i="13" s="1"/>
  <c r="EC50" i="13"/>
  <c r="EE50" i="13" s="1"/>
  <c r="EC58" i="13"/>
  <c r="EE58" i="13" s="1"/>
  <c r="EC66" i="13"/>
  <c r="EE66" i="13" s="1"/>
  <c r="DV68" i="13"/>
  <c r="EB105" i="13"/>
  <c r="DV17" i="13"/>
  <c r="DV28" i="13"/>
  <c r="DY36" i="13"/>
  <c r="EI9" i="13"/>
  <c r="EK9" i="13" s="1"/>
  <c r="C6" i="10" l="1"/>
  <c r="E3" i="26" l="1"/>
  <c r="E3" i="28"/>
  <c r="E3" i="27"/>
  <c r="E3" i="25"/>
  <c r="B4" i="22"/>
  <c r="B4" i="21"/>
  <c r="E3" i="23"/>
  <c r="E3" i="20"/>
  <c r="E3" i="1"/>
  <c r="C82" i="1" s="1"/>
  <c r="E3" i="17"/>
  <c r="E3" i="4"/>
  <c r="E3" i="2"/>
  <c r="E3" i="15"/>
  <c r="E3" i="3"/>
  <c r="E3" i="14"/>
  <c r="O21" i="3"/>
  <c r="N21" i="3"/>
  <c r="M21" i="3"/>
  <c r="L21" i="3"/>
  <c r="K21" i="3"/>
  <c r="J21" i="3"/>
  <c r="H21" i="3"/>
  <c r="G21" i="3"/>
  <c r="F21" i="3"/>
  <c r="E21" i="3"/>
  <c r="D21" i="3"/>
  <c r="C21" i="3"/>
  <c r="D18" i="2"/>
  <c r="E18" i="2"/>
  <c r="F18" i="2"/>
  <c r="G18" i="2"/>
  <c r="H18" i="2"/>
  <c r="C18" i="2"/>
  <c r="K18" i="2"/>
  <c r="L18" i="2"/>
  <c r="M18" i="2"/>
  <c r="N18" i="2"/>
  <c r="O18" i="2"/>
  <c r="J18" i="2"/>
  <c r="G77" i="1"/>
  <c r="H77" i="1"/>
  <c r="K77" i="1"/>
  <c r="C31" i="1" l="1"/>
  <c r="C26" i="1"/>
  <c r="C64" i="1"/>
  <c r="C43" i="1"/>
  <c r="C35" i="1"/>
  <c r="C70" i="1"/>
  <c r="C51" i="1"/>
  <c r="C44" i="1"/>
  <c r="C55" i="1"/>
  <c r="C68" i="1"/>
  <c r="C90" i="1"/>
  <c r="C52" i="1"/>
  <c r="C21" i="1"/>
  <c r="C87" i="1"/>
  <c r="C42" i="1"/>
  <c r="C41" i="1"/>
  <c r="C18" i="1"/>
  <c r="C63" i="1"/>
  <c r="C47" i="1"/>
  <c r="C50" i="1"/>
  <c r="C29" i="1"/>
  <c r="C65" i="1"/>
  <c r="C34" i="1"/>
  <c r="C49" i="1"/>
  <c r="C22" i="1"/>
  <c r="C58" i="1"/>
  <c r="C25" i="1"/>
  <c r="C46" i="1"/>
  <c r="C28" i="1"/>
  <c r="C57" i="1"/>
  <c r="C71" i="1"/>
  <c r="C72" i="1"/>
  <c r="C17" i="1"/>
  <c r="C20" i="1"/>
  <c r="C88" i="1"/>
  <c r="C30" i="1"/>
  <c r="C16" i="1"/>
  <c r="C33" i="1"/>
  <c r="C54" i="1"/>
  <c r="C36" i="1"/>
  <c r="C61" i="1"/>
  <c r="C89" i="1"/>
  <c r="C8" i="1"/>
  <c r="C77" i="1" s="1"/>
  <c r="C59" i="1"/>
  <c r="C10" i="1"/>
  <c r="C94" i="1" s="1"/>
  <c r="C24" i="1"/>
  <c r="C45" i="1"/>
  <c r="C19" i="1"/>
  <c r="C48" i="1"/>
  <c r="C60" i="1"/>
  <c r="C69" i="1"/>
  <c r="C66" i="1"/>
  <c r="C23" i="1"/>
  <c r="C32" i="1"/>
  <c r="C53" i="1"/>
  <c r="C27" i="1"/>
  <c r="C56" i="1"/>
  <c r="C62" i="1"/>
  <c r="C73" i="1"/>
  <c r="C81" i="1"/>
  <c r="C83" i="1"/>
  <c r="C67" i="1"/>
  <c r="C57" i="10"/>
  <c r="C56" i="10"/>
  <c r="H56" i="10"/>
  <c r="H57" i="10"/>
  <c r="G56" i="10"/>
  <c r="G57" i="10"/>
  <c r="F56" i="10"/>
  <c r="F57" i="10"/>
  <c r="E56" i="10"/>
  <c r="E57" i="10"/>
  <c r="D56" i="10"/>
  <c r="D57" i="10"/>
  <c r="K76" i="1"/>
  <c r="K78" i="1" s="1"/>
  <c r="H76" i="1"/>
  <c r="H78" i="1" s="1"/>
  <c r="G76" i="1"/>
  <c r="G78" i="1" s="1"/>
  <c r="E76" i="1"/>
  <c r="E78" i="1" s="1"/>
  <c r="C84" i="1" l="1"/>
  <c r="C91" i="1"/>
  <c r="C37" i="1"/>
  <c r="C13" i="1"/>
  <c r="C74" i="1"/>
  <c r="C15" i="10" s="1"/>
  <c r="C14" i="10"/>
  <c r="C13" i="10"/>
  <c r="C93" i="1" l="1"/>
  <c r="C95" i="1" s="1"/>
  <c r="C76" i="1"/>
  <c r="C78" i="1" s="1"/>
  <c r="C16" i="10"/>
  <c r="C17" i="10" s="1"/>
  <c r="D13" i="10" l="1"/>
  <c r="D17" i="10" s="1"/>
  <c r="E13" i="10" s="1"/>
  <c r="E17" i="10" s="1"/>
  <c r="C18" i="10"/>
  <c r="D18" i="10" l="1"/>
  <c r="F13" i="10"/>
  <c r="F17" i="10" s="1"/>
  <c r="E18" i="10"/>
  <c r="G13" i="10" l="1"/>
  <c r="G17" i="10" s="1"/>
  <c r="F18" i="10"/>
  <c r="H13" i="10" l="1"/>
  <c r="H17" i="10" s="1"/>
  <c r="G18" i="10"/>
  <c r="I13" i="10" l="1"/>
  <c r="I17" i="10" s="1"/>
  <c r="I18" i="10" s="1"/>
  <c r="H1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Sue Sehangera</author>
  </authors>
  <commentList>
    <comment ref="C5" authorId="0" shapeId="0" xr:uid="{5C8DDB52-11EA-44E5-92CD-9F73765F8DAE}">
      <text>
        <r>
          <rPr>
            <sz val="9"/>
            <color indexed="81"/>
            <rFont val="Tahoma"/>
            <family val="2"/>
          </rPr>
          <t xml:space="preserve">The 2023/24 Outturn is based on balances agreed with schools at 31.03.24.  Any subsequent adjustments agreed following closedown will be made in 2024/25.  
</t>
        </r>
      </text>
    </comment>
    <comment ref="D5" authorId="0" shapeId="0" xr:uid="{92C53938-5D2D-4223-A8B8-43562808003B}">
      <text>
        <r>
          <rPr>
            <b/>
            <sz val="9"/>
            <color indexed="81"/>
            <rFont val="Tahoma"/>
            <family val="2"/>
          </rPr>
          <t>Include 2023/24 post closure adjustments agreed with Schools Finance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Carter, Patrick</author>
  </authors>
  <commentList>
    <comment ref="B17" authorId="0" shapeId="0" xr:uid="{07347F2B-6607-43B6-B17D-3F4D248FEE6E}">
      <text>
        <r>
          <rPr>
            <b/>
            <sz val="9"/>
            <color indexed="81"/>
            <rFont val="Tahoma"/>
            <family val="2"/>
          </rPr>
          <t>Carter, Patrick:</t>
        </r>
        <r>
          <rPr>
            <sz val="9"/>
            <color indexed="81"/>
            <rFont val="Tahoma"/>
            <family val="2"/>
          </rPr>
          <t xml:space="preserve">
Use current costs to date from latest payroll report and forecast costs from Access</t>
        </r>
      </text>
    </comment>
    <comment ref="B18" authorId="0" shapeId="0" xr:uid="{F1FCAAC6-9825-4D24-B779-16D42CCC1C57}">
      <text>
        <r>
          <rPr>
            <b/>
            <sz val="9"/>
            <color indexed="81"/>
            <rFont val="Tahoma"/>
            <family val="2"/>
          </rPr>
          <t>Carter, Patrick:</t>
        </r>
        <r>
          <rPr>
            <sz val="9"/>
            <color indexed="81"/>
            <rFont val="Tahoma"/>
            <family val="2"/>
          </rPr>
          <t xml:space="preserve">
Use current costs to date and forecast balance from Access</t>
        </r>
      </text>
    </comment>
    <comment ref="B19" authorId="0" shapeId="0" xr:uid="{B4DBF48B-3C08-414B-A002-24757A9918D7}">
      <text>
        <r>
          <rPr>
            <b/>
            <sz val="9"/>
            <color indexed="81"/>
            <rFont val="Tahoma"/>
            <family val="2"/>
          </rPr>
          <t>Carter, Patrick:</t>
        </r>
        <r>
          <rPr>
            <sz val="9"/>
            <color indexed="81"/>
            <rFont val="Tahoma"/>
            <family val="2"/>
          </rPr>
          <t xml:space="preserve">
Same actions as Supply Budget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<sst xmlns="http://schemas.openxmlformats.org/spreadsheetml/2006/main" count="2358" uniqueCount="1483">
  <si>
    <t>LA Number</t>
  </si>
  <si>
    <t>Serial Number</t>
  </si>
  <si>
    <t>Check on Collect</t>
  </si>
  <si>
    <t xml:space="preserve">Closing Balances </t>
  </si>
  <si>
    <t>School Details</t>
  </si>
  <si>
    <t>Opening Balances</t>
  </si>
  <si>
    <t>Income Fields</t>
  </si>
  <si>
    <t>Expenditure Fields</t>
  </si>
  <si>
    <t>Capital Income</t>
  </si>
  <si>
    <t>Capital Expenditure</t>
  </si>
  <si>
    <t>Closing Balances</t>
  </si>
  <si>
    <t>Notepad Details</t>
  </si>
  <si>
    <t>HK DATA</t>
  </si>
  <si>
    <t>Monia's Spreadsheet</t>
  </si>
  <si>
    <t xml:space="preserve">Monia </t>
  </si>
  <si>
    <t>School Number</t>
  </si>
  <si>
    <t>School Name</t>
  </si>
  <si>
    <t>Contact Name</t>
  </si>
  <si>
    <t>Contact Email</t>
  </si>
  <si>
    <t>Contact Phone</t>
  </si>
  <si>
    <t>xFederated
Flag
(Yes/No)</t>
  </si>
  <si>
    <t>FederationEstab1</t>
  </si>
  <si>
    <t>FederationEstab2</t>
  </si>
  <si>
    <t>FederationEstab3</t>
  </si>
  <si>
    <t>FederationEstab4</t>
  </si>
  <si>
    <t>FederationEstab5</t>
  </si>
  <si>
    <t>FederationEstab6</t>
  </si>
  <si>
    <t>FederationEstab7</t>
  </si>
  <si>
    <t>FederationEstab8</t>
  </si>
  <si>
    <t>FederationEstab9</t>
  </si>
  <si>
    <t>FederationEstab10</t>
  </si>
  <si>
    <t>Data Preparation
(Y/N)</t>
  </si>
  <si>
    <t>Data Version
(Final/
Preliminary)</t>
  </si>
  <si>
    <t>Complete
(Y/N)</t>
  </si>
  <si>
    <t>xCash or Accruals</t>
  </si>
  <si>
    <t>Rates Exempt
(Y/N)</t>
  </si>
  <si>
    <t>Insurance
(Y/N)</t>
  </si>
  <si>
    <t>OB01</t>
  </si>
  <si>
    <t>OB02</t>
  </si>
  <si>
    <t>OB03</t>
  </si>
  <si>
    <t>I01</t>
  </si>
  <si>
    <t>I02</t>
  </si>
  <si>
    <t>I03</t>
  </si>
  <si>
    <t>I04</t>
  </si>
  <si>
    <t>I05</t>
  </si>
  <si>
    <t>I06</t>
  </si>
  <si>
    <t>I07</t>
  </si>
  <si>
    <t>I08a</t>
  </si>
  <si>
    <t>I08b</t>
  </si>
  <si>
    <t>I09</t>
  </si>
  <si>
    <t>I10</t>
  </si>
  <si>
    <t>I11</t>
  </si>
  <si>
    <t>I12</t>
  </si>
  <si>
    <t>I13</t>
  </si>
  <si>
    <t>I15</t>
  </si>
  <si>
    <t>I16</t>
  </si>
  <si>
    <t>I17</t>
  </si>
  <si>
    <t>I18a</t>
  </si>
  <si>
    <t>I18b</t>
  </si>
  <si>
    <t>I18c</t>
  </si>
  <si>
    <t>I18d</t>
  </si>
  <si>
    <t>E01</t>
  </si>
  <si>
    <t>E02</t>
  </si>
  <si>
    <t>E03</t>
  </si>
  <si>
    <t>E04</t>
  </si>
  <si>
    <t>E05</t>
  </si>
  <si>
    <t>E06</t>
  </si>
  <si>
    <t>E07</t>
  </si>
  <si>
    <t>E08</t>
  </si>
  <si>
    <t>E09</t>
  </si>
  <si>
    <t>E10</t>
  </si>
  <si>
    <t>E11</t>
  </si>
  <si>
    <t>E12</t>
  </si>
  <si>
    <t>E13</t>
  </si>
  <si>
    <t>E14</t>
  </si>
  <si>
    <t>E15</t>
  </si>
  <si>
    <t>E16</t>
  </si>
  <si>
    <t>E17</t>
  </si>
  <si>
    <t>E18</t>
  </si>
  <si>
    <t>E19</t>
  </si>
  <si>
    <t>E20</t>
  </si>
  <si>
    <t>E21</t>
  </si>
  <si>
    <t>E22</t>
  </si>
  <si>
    <t>E23</t>
  </si>
  <si>
    <t>E24</t>
  </si>
  <si>
    <t>E25</t>
  </si>
  <si>
    <t>E26</t>
  </si>
  <si>
    <t>E27</t>
  </si>
  <si>
    <t>E28a</t>
  </si>
  <si>
    <t>E28b</t>
  </si>
  <si>
    <t>E29</t>
  </si>
  <si>
    <t>E30</t>
  </si>
  <si>
    <t>E31</t>
  </si>
  <si>
    <t>E32</t>
  </si>
  <si>
    <t>CI01</t>
  </si>
  <si>
    <t>CI03</t>
  </si>
  <si>
    <t>CI04</t>
  </si>
  <si>
    <t>De Minimis</t>
  </si>
  <si>
    <t>CE01</t>
  </si>
  <si>
    <t>CE02</t>
  </si>
  <si>
    <t>CE03</t>
  </si>
  <si>
    <t>CE04</t>
  </si>
  <si>
    <t>B01</t>
  </si>
  <si>
    <t>B02</t>
  </si>
  <si>
    <t>B03</t>
  </si>
  <si>
    <t>B05</t>
  </si>
  <si>
    <t>B06</t>
  </si>
  <si>
    <t>B07</t>
  </si>
  <si>
    <t>Closing Revenue</t>
  </si>
  <si>
    <t>Closing Capital</t>
  </si>
  <si>
    <t>Revenue difference</t>
  </si>
  <si>
    <t>Capital Difference</t>
  </si>
  <si>
    <t xml:space="preserve">Total Reserve </t>
  </si>
  <si>
    <t>Capital income adjustment</t>
  </si>
  <si>
    <t>Capital expenditure adjustment</t>
  </si>
  <si>
    <t>Revenue income adjustment</t>
  </si>
  <si>
    <t xml:space="preserve">Revenue Expenditure adjustment </t>
  </si>
  <si>
    <t>Final Check</t>
  </si>
  <si>
    <t>Revenue Income</t>
  </si>
  <si>
    <t>Revenue Expenditure</t>
  </si>
  <si>
    <t>In year Revenue</t>
  </si>
  <si>
    <t>Capital income total</t>
  </si>
  <si>
    <t>Capital expenditure</t>
  </si>
  <si>
    <t>In year Capital</t>
  </si>
  <si>
    <t>Revenue</t>
  </si>
  <si>
    <t>Capital</t>
  </si>
  <si>
    <t>0000</t>
  </si>
  <si>
    <t>Select School</t>
  </si>
  <si>
    <t>Opening</t>
  </si>
  <si>
    <t>In year</t>
  </si>
  <si>
    <t>Closing</t>
  </si>
  <si>
    <t>Closing agreed</t>
  </si>
  <si>
    <t>Agreed Closing</t>
  </si>
  <si>
    <t>Variance</t>
  </si>
  <si>
    <t xml:space="preserve">               AX00U-Bordesley Green East Nursery School</t>
  </si>
  <si>
    <t>Bordesley Green East Nursery School</t>
  </si>
  <si>
    <t xml:space="preserve">               AX04N-Perry Beeches Nursery School</t>
  </si>
  <si>
    <t>Perry Beeches Nursery School</t>
  </si>
  <si>
    <t xml:space="preserve">               AX03W-Marsh Hill Nursery School</t>
  </si>
  <si>
    <t>Marsh Hill Nursery School</t>
  </si>
  <si>
    <t xml:space="preserve">               AX052-Rubery Nursery School</t>
  </si>
  <si>
    <t>Rubery Nursery School</t>
  </si>
  <si>
    <t xml:space="preserve">               AX029-Gracelands Nursery School</t>
  </si>
  <si>
    <t>Gracelands Nursery School</t>
  </si>
  <si>
    <t xml:space="preserve">               AX0A7-Jakeman Nursery School</t>
  </si>
  <si>
    <t>Jakeman Nursery School</t>
  </si>
  <si>
    <t xml:space="preserve">               AX01X-Featherstone Nursery School</t>
  </si>
  <si>
    <t>Featherstone Nursery School</t>
  </si>
  <si>
    <t xml:space="preserve">               AX014-Castle Vale Nursery School</t>
  </si>
  <si>
    <t>Castle Vale Nursery School</t>
  </si>
  <si>
    <t xml:space="preserve">               AX04B-Osborne Nursery School</t>
  </si>
  <si>
    <t>Osborne Nursery School</t>
  </si>
  <si>
    <t xml:space="preserve">               AX073-City of Birmingham School</t>
  </si>
  <si>
    <t>City of Birmingham School</t>
  </si>
  <si>
    <t xml:space="preserve">               AX03R-Mapledene Primary School</t>
  </si>
  <si>
    <t>Mapledene Primary School</t>
  </si>
  <si>
    <t>AX085- Adderley Primary School</t>
  </si>
  <si>
    <t>Adderley Primary School</t>
  </si>
  <si>
    <t xml:space="preserve">               AX04L-Beeches Infant School</t>
  </si>
  <si>
    <t>Beeches Infant School</t>
  </si>
  <si>
    <t xml:space="preserve">               AX07L-West Heath Primary School</t>
  </si>
  <si>
    <t>West Heath Primary School</t>
  </si>
  <si>
    <t>AX01J- Cotteridge Primary School</t>
  </si>
  <si>
    <t>Cotteridge Primary School</t>
  </si>
  <si>
    <t xml:space="preserve">               AX006-Anderton Park Primary School</t>
  </si>
  <si>
    <t>Anderton Park Primary School</t>
  </si>
  <si>
    <t xml:space="preserve">               AX04Z-Regents Park Community Primary School</t>
  </si>
  <si>
    <t>Regents Park Community Primary School</t>
  </si>
  <si>
    <t xml:space="preserve">               AX026-Gilbertstone Primary School</t>
  </si>
  <si>
    <t>Gilbertstone Primary School</t>
  </si>
  <si>
    <t xml:space="preserve">               AX02F-Gunter Primary School</t>
  </si>
  <si>
    <t>Gunter Primary School</t>
  </si>
  <si>
    <t xml:space="preserve">               AX02G-Hall Green Infant School</t>
  </si>
  <si>
    <t>Hall Green Infant School</t>
  </si>
  <si>
    <t xml:space="preserve">               AX070-Story Wood School</t>
  </si>
  <si>
    <t>Story Wood School</t>
  </si>
  <si>
    <t>AX0AN- Lozells Junior and Infant School and Nursery</t>
  </si>
  <si>
    <t>Lozells Junior and Infant School and Nursery</t>
  </si>
  <si>
    <t>AX03P- Lyndon Green Junior School</t>
  </si>
  <si>
    <t>Lyndon Green Junior School</t>
  </si>
  <si>
    <t>AX03N- Lyndon Green Infant School</t>
  </si>
  <si>
    <t>Lyndon Green Infant School</t>
  </si>
  <si>
    <t xml:space="preserve">               AX04J-Park Hill Primary School</t>
  </si>
  <si>
    <t>Park Hill Primary School</t>
  </si>
  <si>
    <t xml:space="preserve">               AX004-Allens Croft Primary School</t>
  </si>
  <si>
    <t>Allens Croft Primary School</t>
  </si>
  <si>
    <t xml:space="preserve">               AX04W-Redhill Primary School</t>
  </si>
  <si>
    <t>Redhill Primary School</t>
  </si>
  <si>
    <t xml:space="preserve">               AX04X-Rednal Hill Infant School</t>
  </si>
  <si>
    <t>Rednal Hill Infant School</t>
  </si>
  <si>
    <t xml:space="preserve">               AX054-Severne Junior Infant and Nursery School</t>
  </si>
  <si>
    <t>Severne Junior Infant and Nursery School</t>
  </si>
  <si>
    <t>AX0BR- Sladefield Infant School</t>
  </si>
  <si>
    <t>Sladefield Infant School</t>
  </si>
  <si>
    <t xml:space="preserve">               AX06W-Stanville Primary School</t>
  </si>
  <si>
    <t>Stanville Primary School</t>
  </si>
  <si>
    <t xml:space="preserve">               AX03E-Ladypool Primary School</t>
  </si>
  <si>
    <t>Ladypool Primary School</t>
  </si>
  <si>
    <t xml:space="preserve">               AX072-Sundridge Primary School</t>
  </si>
  <si>
    <t>Sundridge Primary School</t>
  </si>
  <si>
    <t xml:space="preserve">               AX075-Thornton Primary School</t>
  </si>
  <si>
    <t>Thornton Primary School</t>
  </si>
  <si>
    <t>AX0CQ- World's End Junior School</t>
  </si>
  <si>
    <t>World's End Junior School</t>
  </si>
  <si>
    <t xml:space="preserve">               AX083-Yorkmead Junior and Infant School</t>
  </si>
  <si>
    <t>Yorkmead Junior and Infant School</t>
  </si>
  <si>
    <t xml:space="preserve">               AX00G-Bellfield Infant School (NC)</t>
  </si>
  <si>
    <t>Bellfield Infant School (NC)</t>
  </si>
  <si>
    <t xml:space="preserve">               AX00H-Bellfield Junior School</t>
  </si>
  <si>
    <t>Bellfield Junior School</t>
  </si>
  <si>
    <t xml:space="preserve">               AX07H-Welsh Hse Farm Comm Sch&amp;SpecNeedsResBase</t>
  </si>
  <si>
    <t>Welsh House Farm Community School and Special Needs Resources Base</t>
  </si>
  <si>
    <t xml:space="preserve">               AX03Z-The Meadows Primary School</t>
  </si>
  <si>
    <t>The Meadows Primary School</t>
  </si>
  <si>
    <t>AX08W- Chilcote Primary School</t>
  </si>
  <si>
    <t>Chilcote Primary School</t>
  </si>
  <si>
    <t xml:space="preserve">               AX00Q-Blakesley Hall Primary School</t>
  </si>
  <si>
    <t>Blakesley Hall Primary School</t>
  </si>
  <si>
    <t xml:space="preserve">               AX01D-Cofton Primary School</t>
  </si>
  <si>
    <t>Cofton Primary School</t>
  </si>
  <si>
    <t xml:space="preserve">               AX01W-Featherstone Primary School</t>
  </si>
  <si>
    <t>Featherstone Primary School</t>
  </si>
  <si>
    <t>AX027- Glenmead Primary School</t>
  </si>
  <si>
    <t>Glenmead Primary School</t>
  </si>
  <si>
    <t>AX008- Arden Primary School</t>
  </si>
  <si>
    <t>Arden Primary School</t>
  </si>
  <si>
    <t xml:space="preserve">               AX07E-Water Mill Primary School</t>
  </si>
  <si>
    <t>Water Mill Primary School</t>
  </si>
  <si>
    <t>AX0CL- Welford Primary School</t>
  </si>
  <si>
    <t>Welford Primary School</t>
  </si>
  <si>
    <t>AX015- Chad Vale Primary School</t>
  </si>
  <si>
    <t>Chad Vale Primary School</t>
  </si>
  <si>
    <t xml:space="preserve">               AX07W-Woodthorpe Junior and Infant School</t>
  </si>
  <si>
    <t>Woodthorpe Junior and Infant School</t>
  </si>
  <si>
    <t xml:space="preserve">               AX03D-Kitwell Primary School and Nursery Class</t>
  </si>
  <si>
    <t>Kitwell Primary School and Nursery Class</t>
  </si>
  <si>
    <t>AX00T- Boldmere Junior School</t>
  </si>
  <si>
    <t>Boldmere Junior School</t>
  </si>
  <si>
    <t>AX08G- Boldmere Infant School and Nursery</t>
  </si>
  <si>
    <t>Boldmere Infant School and Nursery</t>
  </si>
  <si>
    <t>AX041- Moor Hall Primary School</t>
  </si>
  <si>
    <t>Moor Hall Primary School</t>
  </si>
  <si>
    <t xml:space="preserve">               AX03Q-Maney Hill Primary School</t>
  </si>
  <si>
    <t>Maney Hill Primary School</t>
  </si>
  <si>
    <t xml:space="preserve">               AX07U-Woodcock Hill Primary School</t>
  </si>
  <si>
    <t>Woodcock Hill Primary School</t>
  </si>
  <si>
    <t xml:space="preserve">               AX01R-Elms Farm Community Primary School</t>
  </si>
  <si>
    <t>Elms Farm Community Primary School</t>
  </si>
  <si>
    <t xml:space="preserve">               AX00J-Bells Farm Primary School</t>
  </si>
  <si>
    <t>Bells Farm Primary School</t>
  </si>
  <si>
    <t xml:space="preserve">               AX044-Nelson Mandela School</t>
  </si>
  <si>
    <t>Nelson Mandela School</t>
  </si>
  <si>
    <t>AX03L- Little Sutton Primary School</t>
  </si>
  <si>
    <t>Little Sutton Primary School</t>
  </si>
  <si>
    <t xml:space="preserve">               AX02D-Grove School</t>
  </si>
  <si>
    <t>Grove School</t>
  </si>
  <si>
    <t xml:space="preserve">               AX02L-Harborne Primary School</t>
  </si>
  <si>
    <t>Harborne Primary School</t>
  </si>
  <si>
    <t>AX01Z- Forestdale Primary School</t>
  </si>
  <si>
    <t>Forestdale Primary School</t>
  </si>
  <si>
    <t xml:space="preserve">               AX06N-St Saviour's C of E Primary School</t>
  </si>
  <si>
    <t>St Saviour's C of E Primary School</t>
  </si>
  <si>
    <t xml:space="preserve">               AX06D-St Mary's Church of England Primary Sch</t>
  </si>
  <si>
    <t>St Mary's Church of England Primary School</t>
  </si>
  <si>
    <t xml:space="preserve">               AX01H-Corpus Christi Catholic Primary School</t>
  </si>
  <si>
    <t>Corpus Christi Catholic Primary School</t>
  </si>
  <si>
    <t xml:space="preserve">               AX01T-English Martyrs' Catholic Primary School</t>
  </si>
  <si>
    <t>English Martyrs' Catholic Primary School</t>
  </si>
  <si>
    <t xml:space="preserve">               AX04E-Our Lady of Lourdes Catholic Prim Schl</t>
  </si>
  <si>
    <t>Our Lady of Lourdes Catholic Primary School</t>
  </si>
  <si>
    <t xml:space="preserve">               AX04D-Our Lady &amp; St Rose of Lima Cath Prim Sch</t>
  </si>
  <si>
    <t>Our Lady and St Rose of Lima Catholic Primary School</t>
  </si>
  <si>
    <t xml:space="preserve">               AX05U-St Edward's Catholic Primary School</t>
  </si>
  <si>
    <t>St Edward's Catholic Primary School</t>
  </si>
  <si>
    <t>AX067- St Laurence Church Infant School</t>
  </si>
  <si>
    <t>St Laurence Church Infant School</t>
  </si>
  <si>
    <t xml:space="preserve">               AX05K-St Bernard's Catholic Primary School</t>
  </si>
  <si>
    <t>St Bernard's Catholic Primary School</t>
  </si>
  <si>
    <t xml:space="preserve">               AX05P-St Cuthbert's Catholic Primary School</t>
  </si>
  <si>
    <t>St Cuthbert's Catholic Primary School</t>
  </si>
  <si>
    <t xml:space="preserve">               AX061-SS John &amp; Monica Catholic Primary School</t>
  </si>
  <si>
    <t>SS John &amp; Monica Catholic Primary School</t>
  </si>
  <si>
    <t xml:space="preserve">               AX080-Yardley Primary School</t>
  </si>
  <si>
    <t>Yardley Primary School</t>
  </si>
  <si>
    <t xml:space="preserve">               AX046-New Oscott Primary School</t>
  </si>
  <si>
    <t>New Oscott Primary School</t>
  </si>
  <si>
    <t xml:space="preserve">               AX01B-Clifton Primary School</t>
  </si>
  <si>
    <t>Clifton Primary School</t>
  </si>
  <si>
    <t xml:space="preserve">               AX020-Four Oaks Primary School</t>
  </si>
  <si>
    <t>Four Oaks Primary School</t>
  </si>
  <si>
    <t>AX0A2- Hodge Hill Girls' School</t>
  </si>
  <si>
    <t>Hodge Hill Girls' School</t>
  </si>
  <si>
    <t xml:space="preserve">               AX036-Kings Heath Boys</t>
  </si>
  <si>
    <t>Kings Heath Boys</t>
  </si>
  <si>
    <t>AX08J- Bordesley Green Girls' School &amp; Sixth Form</t>
  </si>
  <si>
    <t>Bordesley Green Girls' School &amp; Sixth Form</t>
  </si>
  <si>
    <t>AX0BD- Queensbridge School</t>
  </si>
  <si>
    <t>Queensbridge School</t>
  </si>
  <si>
    <t>AX0A1- Hodge Hill College</t>
  </si>
  <si>
    <t>Hodge Hill College</t>
  </si>
  <si>
    <t>AX0C8- Swanshurst School</t>
  </si>
  <si>
    <t>Swanshurst School</t>
  </si>
  <si>
    <t>AX0C4- St Paul's School for Girls</t>
  </si>
  <si>
    <t>St Paul's School for Girls</t>
  </si>
  <si>
    <t>AX0CJ- Walmley Junior School</t>
  </si>
  <si>
    <t>Walmley Junior School</t>
  </si>
  <si>
    <t>AX0CH- Walmley Infant School</t>
  </si>
  <si>
    <t>Walmley Infant School</t>
  </si>
  <si>
    <t>AX08C- Bishop Challoner Catholic College</t>
  </si>
  <si>
    <t>Bishop Challoner Catholic College</t>
  </si>
  <si>
    <t xml:space="preserve">               AX02K-Hamilton School</t>
  </si>
  <si>
    <t>Hamilton School</t>
  </si>
  <si>
    <t>AX0CG- Victoria School</t>
  </si>
  <si>
    <t>Victoria School</t>
  </si>
  <si>
    <t xml:space="preserve">               AX01M-The Dame Ellen Pinsent School</t>
  </si>
  <si>
    <t>The Dame Ellen Pinsent School</t>
  </si>
  <si>
    <t>AX017- Cherry Oak School</t>
  </si>
  <si>
    <t>Cherry Oak School</t>
  </si>
  <si>
    <t>AX04C- Oscott Manor School</t>
  </si>
  <si>
    <t>Oscott Manor School</t>
  </si>
  <si>
    <t xml:space="preserve">               AX03G-Langley School</t>
  </si>
  <si>
    <t>Langley School</t>
  </si>
  <si>
    <t>Agree</t>
  </si>
  <si>
    <t xml:space="preserve">               AX02V-Hollyfield Primary School</t>
  </si>
  <si>
    <t>Hollyfield Primary School</t>
  </si>
  <si>
    <t xml:space="preserve">               AX053-Selly Oak Nursery School</t>
  </si>
  <si>
    <t>Selly Oak Nursery School</t>
  </si>
  <si>
    <t xml:space="preserve">               AX00Z-Brearley Nursery School</t>
  </si>
  <si>
    <t>Brearley Nursery School</t>
  </si>
  <si>
    <t xml:space="preserve">               AX023-Garretts Green Nursery School</t>
  </si>
  <si>
    <t>Garretts Green Nursery School</t>
  </si>
  <si>
    <t xml:space="preserve">               AX06R-St Thomas Centre Nursery School</t>
  </si>
  <si>
    <t>St Thomas Centre Nursery School</t>
  </si>
  <si>
    <t xml:space="preserve">               AX02P-Highfield Nursery School</t>
  </si>
  <si>
    <t>Highfield Nursery School</t>
  </si>
  <si>
    <t xml:space="preserve">               AX07K-West Heath Nursery School</t>
  </si>
  <si>
    <t>West Heath Nursery School</t>
  </si>
  <si>
    <t xml:space="preserve">               AX028-Goodway Nursery School</t>
  </si>
  <si>
    <t>Goodway Nursery School</t>
  </si>
  <si>
    <t xml:space="preserve">               AX03A-Kings Norton Nursery School</t>
  </si>
  <si>
    <t>Kings Norton Nursery School</t>
  </si>
  <si>
    <t>AX087- Allens Croft Nursery School</t>
  </si>
  <si>
    <t>Allens Croft Nursery School</t>
  </si>
  <si>
    <t xml:space="preserve">               AX07D-Washwood Heath Nursery School</t>
  </si>
  <si>
    <t>Washwood Heath Nursery School</t>
  </si>
  <si>
    <t xml:space="preserve">               AX07J-Weoley Castle Nursery School</t>
  </si>
  <si>
    <t>Weoley Castle Nursery School</t>
  </si>
  <si>
    <t xml:space="preserve">               AX02R-Highters Heath Nursery School</t>
  </si>
  <si>
    <t>Highters Heath Nursery School</t>
  </si>
  <si>
    <t xml:space="preserve">               AX03J-Lillian de Lissa Nursery School</t>
  </si>
  <si>
    <t>Lillian de Lissa Nursery School</t>
  </si>
  <si>
    <t xml:space="preserve">               AX00R-Bloomsbury Nursery School</t>
  </si>
  <si>
    <t>Bloomsbury Nursery School</t>
  </si>
  <si>
    <t xml:space="preserve">               AX001-Adderley Nursery School</t>
  </si>
  <si>
    <t>Adderley Nursery School</t>
  </si>
  <si>
    <t xml:space="preserve">               AX047-Newtown Nursery School</t>
  </si>
  <si>
    <t>Newtown Nursery School</t>
  </si>
  <si>
    <t>AX056- Shenley Fields Nursery School</t>
  </si>
  <si>
    <t>Shenley Fields Nursery School</t>
  </si>
  <si>
    <t xml:space="preserve">               AX01Q-Edith Cadbury Nursery School</t>
  </si>
  <si>
    <t>Edith Cadbury Nursery School</t>
  </si>
  <si>
    <t xml:space="preserve">               AX037-Kings Heath Primary School</t>
  </si>
  <si>
    <t>Kings Heath Primary School</t>
  </si>
  <si>
    <t xml:space="preserve">               AX055-Shaw Hill Primary School</t>
  </si>
  <si>
    <t>Shaw Hill Primary School</t>
  </si>
  <si>
    <t>AX07P- Wheelers Lane Primary School</t>
  </si>
  <si>
    <t>Wheelers Lane Primary School</t>
  </si>
  <si>
    <t xml:space="preserve">               AX00C-Barford Primary School</t>
  </si>
  <si>
    <t>Barford Primary School</t>
  </si>
  <si>
    <t>AX032- James Watt Primary School</t>
  </si>
  <si>
    <t>James Watt Primary School</t>
  </si>
  <si>
    <t xml:space="preserve">               AX04M-Beeches Junior School</t>
  </si>
  <si>
    <t>Beeches Junior School</t>
  </si>
  <si>
    <t>AX08H- Bordesley Green Primary School</t>
  </si>
  <si>
    <t>Bordesley Green Primary School</t>
  </si>
  <si>
    <t xml:space="preserve">               AX018-Cherry Orchard Primary School</t>
  </si>
  <si>
    <t>Cherry Orchard Primary School</t>
  </si>
  <si>
    <t>AX093- Colmore Junior School</t>
  </si>
  <si>
    <t>Colmore Junior School</t>
  </si>
  <si>
    <t>AX092- Colmore Infant and Nursery School</t>
  </si>
  <si>
    <t>Colmore Infant and Nursery School</t>
  </si>
  <si>
    <t xml:space="preserve">               AX071-Summerfield School</t>
  </si>
  <si>
    <t>Summerfield School</t>
  </si>
  <si>
    <t xml:space="preserve">               AX025-George Dixon Primary School</t>
  </si>
  <si>
    <t>George Dixon Primary School</t>
  </si>
  <si>
    <t xml:space="preserve">               AX02C-Grendon Primary School</t>
  </si>
  <si>
    <t>Grendon Primary School</t>
  </si>
  <si>
    <t>AX02H- Hall Green Junior School</t>
  </si>
  <si>
    <t>Hall Green Junior School</t>
  </si>
  <si>
    <t xml:space="preserve">               AX02M-Hawthorn Primary School</t>
  </si>
  <si>
    <t>Hawthorn Primary School</t>
  </si>
  <si>
    <t xml:space="preserve">               AX07B-Ward End Primary School</t>
  </si>
  <si>
    <t>Ward End Primary School</t>
  </si>
  <si>
    <t xml:space="preserve">               AX03B-Kingsland Primary School (NC)</t>
  </si>
  <si>
    <t>Kingsland Primary School (NC)</t>
  </si>
  <si>
    <t>AX03V- Marsh Hill Primary School</t>
  </si>
  <si>
    <t>Marsh Hill Primary School</t>
  </si>
  <si>
    <t xml:space="preserve">               AX043-Nelson Primary School</t>
  </si>
  <si>
    <t>Nelson Primary School</t>
  </si>
  <si>
    <t xml:space="preserve">               AX04H-Paget Primary School</t>
  </si>
  <si>
    <t>Paget Primary School</t>
  </si>
  <si>
    <t xml:space="preserve">               AX04V-Raddlebarn Primary School</t>
  </si>
  <si>
    <t>Raddlebarn Primary School</t>
  </si>
  <si>
    <t xml:space="preserve">               AX04Y-Rednal Hill Junior School</t>
  </si>
  <si>
    <t>Rednal Hill Junior School</t>
  </si>
  <si>
    <t xml:space="preserve">               AX059-Somerville Primary (NC) School</t>
  </si>
  <si>
    <t>Somerville Primary (NC) School</t>
  </si>
  <si>
    <t xml:space="preserve">               AX05H-St Benedict's Primary School</t>
  </si>
  <si>
    <t>St Benedict's Primary School</t>
  </si>
  <si>
    <t xml:space="preserve">               AX06Y-Stechford Primary School</t>
  </si>
  <si>
    <t>Stechford Primary School</t>
  </si>
  <si>
    <t xml:space="preserve">               AX01E-Colebourne Primary School</t>
  </si>
  <si>
    <t>Colebourne Primary School</t>
  </si>
  <si>
    <t xml:space="preserve">               AX01L-Court Farm Primary School</t>
  </si>
  <si>
    <t>Court Farm Primary School</t>
  </si>
  <si>
    <t xml:space="preserve">               AX081-Yardley Wood Community Primary School</t>
  </si>
  <si>
    <t>Yardley Wood Community Primary School</t>
  </si>
  <si>
    <t>AX010- Broadmeadow Junior School</t>
  </si>
  <si>
    <t>Broadmeadow Junior School</t>
  </si>
  <si>
    <t>AX08N- Broadmeadow Infant School</t>
  </si>
  <si>
    <t>Broadmeadow Infant School</t>
  </si>
  <si>
    <t xml:space="preserve">               AX07V-Woodgate Primary School</t>
  </si>
  <si>
    <t>Woodgate Primary School</t>
  </si>
  <si>
    <t xml:space="preserve">               AX01N-Deykin Avenue Junior and Infant School</t>
  </si>
  <si>
    <t>Deykin Avenue Junior and Infant School</t>
  </si>
  <si>
    <t>AX07T- William Murdoch Primary School</t>
  </si>
  <si>
    <t>William Murdoch Primary School</t>
  </si>
  <si>
    <t xml:space="preserve">               AX07X-World's End Infant and Nursery School</t>
  </si>
  <si>
    <t>World's End Infant and Nursery School</t>
  </si>
  <si>
    <t xml:space="preserve">               AX040-Minworth Junior and Infant School</t>
  </si>
  <si>
    <t>Minworth Junior and Infant School</t>
  </si>
  <si>
    <t>AX07Y- Wylde Green Primary School</t>
  </si>
  <si>
    <t>Wylde Green Primary School</t>
  </si>
  <si>
    <t xml:space="preserve">               AX04K-Penns Primary School</t>
  </si>
  <si>
    <t>Penns Primary School</t>
  </si>
  <si>
    <t xml:space="preserve">               AX00K-Benson Community School</t>
  </si>
  <si>
    <t>Benson Community School</t>
  </si>
  <si>
    <t xml:space="preserve">               AX03C-Kingsthorne Primary School</t>
  </si>
  <si>
    <t>Kingsthorne Primary School</t>
  </si>
  <si>
    <t xml:space="preserve">               AX01G-Coppice Primary School</t>
  </si>
  <si>
    <t>Coppice Primary School</t>
  </si>
  <si>
    <t xml:space="preserve">               AX013-Calshot Primary School</t>
  </si>
  <si>
    <t>Calshot Primary School</t>
  </si>
  <si>
    <t xml:space="preserve">               AX045-New Hall Primary School</t>
  </si>
  <si>
    <t>New Hall Primary School</t>
  </si>
  <si>
    <t xml:space="preserve">               AX07Q-Whitehouse Common Primary School</t>
  </si>
  <si>
    <t>Whitehouse Common Primary School</t>
  </si>
  <si>
    <t xml:space="preserve">               AX007-Anglesey Primary School</t>
  </si>
  <si>
    <t>Anglesey Primary School</t>
  </si>
  <si>
    <t xml:space="preserve">               AX07F-Wattville Primary School</t>
  </si>
  <si>
    <t>Wattville Primary School</t>
  </si>
  <si>
    <t>AX01A- Christ Church CofE Controlled Primary School and Nursery</t>
  </si>
  <si>
    <t>Christ Church CofE Controlled Primary School and Nursery</t>
  </si>
  <si>
    <t xml:space="preserve">               AX042-Moseley Church of England Primary School</t>
  </si>
  <si>
    <t>Moseley Church of England Primary School</t>
  </si>
  <si>
    <t xml:space="preserve">               AX05Z-St James Church of England Primary Sch</t>
  </si>
  <si>
    <t>St James Church of England Primary School, Handsworth</t>
  </si>
  <si>
    <t>AX06F- St Matthew's CofE Primary School</t>
  </si>
  <si>
    <t>St Matthew's CofE Primary School</t>
  </si>
  <si>
    <t xml:space="preserve">               AX068-St Laurence Church Junior School</t>
  </si>
  <si>
    <t>St Laurence Church Junior School</t>
  </si>
  <si>
    <t xml:space="preserve">               AX06U-St Vincent's Catholic Primary School</t>
  </si>
  <si>
    <t>St Vincent's Catholic Primary School</t>
  </si>
  <si>
    <t xml:space="preserve">               AX02Y-Holy Family Catholic Primary School</t>
  </si>
  <si>
    <t>Holy Family Catholic Primary School</t>
  </si>
  <si>
    <t>AX019- Christ The King Catholic Primary School</t>
  </si>
  <si>
    <t>Christ The King Catholic Primary School</t>
  </si>
  <si>
    <t>AX03X- Maryvale Catholic Primary School</t>
  </si>
  <si>
    <t>Maryvale Catholic Primary School</t>
  </si>
  <si>
    <t>AX049- The Oratory Roman Catholic Primary School</t>
  </si>
  <si>
    <t>The Oratory Roman Catholic Primary School</t>
  </si>
  <si>
    <t xml:space="preserve">               AX05F-St Augustine's Catholic Primary School</t>
  </si>
  <si>
    <t>St Augustine's Catholic Primary School</t>
  </si>
  <si>
    <t xml:space="preserve">               AX05L-St Catherine of Siena Catholic Prim Sch</t>
  </si>
  <si>
    <t>St Catherine of Siena Catholic Primary School</t>
  </si>
  <si>
    <t xml:space="preserve">               AX05E-St Anne's Catholic Primary School</t>
  </si>
  <si>
    <t>St Anne's Catholic Primary School</t>
  </si>
  <si>
    <t xml:space="preserve">               AX05V-St Francis Catholic Primary School</t>
  </si>
  <si>
    <t>St Francis Catholic Primary School</t>
  </si>
  <si>
    <t xml:space="preserve">               AX06E-St Mary's Catholic Primary School</t>
  </si>
  <si>
    <t>St Mary's Catholic Primary School</t>
  </si>
  <si>
    <t xml:space="preserve">               AX06H-St Patrick's Catholic Primary School</t>
  </si>
  <si>
    <t>St Patrick's Catholic Primary School</t>
  </si>
  <si>
    <t xml:space="preserve">               AX035-King David Junior and Infant School</t>
  </si>
  <si>
    <t>King David Junior and Infant School</t>
  </si>
  <si>
    <t xml:space="preserve">               AX00X-Bournville Village Primary</t>
  </si>
  <si>
    <t>Bournville Village Primary</t>
  </si>
  <si>
    <t xml:space="preserve">               AX069-St Margaret Mary Catholic Primary School</t>
  </si>
  <si>
    <t>St Margaret Mary Catholic Primary School</t>
  </si>
  <si>
    <t>AX05Q- St Dunstan's Catholic Primary School</t>
  </si>
  <si>
    <t>St Dunstan's Catholic Primary School</t>
  </si>
  <si>
    <t xml:space="preserve">               AX06P-St Teresa's Catholic Primary School</t>
  </si>
  <si>
    <t>St Teresa's Catholic Primary School</t>
  </si>
  <si>
    <t xml:space="preserve">               AX05Y-St Gerard's Catholic Primary School</t>
  </si>
  <si>
    <t>St Gerard's Catholic Primary School</t>
  </si>
  <si>
    <t xml:space="preserve">               AX05J-St Bernadette's Catholic Primary School</t>
  </si>
  <si>
    <t>St Bernadette's Catholic Primary School</t>
  </si>
  <si>
    <t>AX066- St Jude's Catholic Primary School</t>
  </si>
  <si>
    <t>St Jude's Catholic Primary School</t>
  </si>
  <si>
    <t xml:space="preserve">               AX05D-St Ambrose Barlow Catholic Primary Sch</t>
  </si>
  <si>
    <t>St Ambrose Barlow Catholic Primary School</t>
  </si>
  <si>
    <t xml:space="preserve">               AX05C-St Alban's Catholic Primary School</t>
  </si>
  <si>
    <t>St Alban's Catholic Primary School</t>
  </si>
  <si>
    <t xml:space="preserve">               AX06B-St Martin de Porres Catholic Primary Sch</t>
  </si>
  <si>
    <t>St Martin de Porres Catholic Primary School</t>
  </si>
  <si>
    <t xml:space="preserve">               AX06M-St Peter's Catholic Primary School</t>
  </si>
  <si>
    <t>St Peter's Catholic Primary School</t>
  </si>
  <si>
    <t xml:space="preserve">               AX05N-St Clare's Catholic Primary School</t>
  </si>
  <si>
    <t>St Clare's Catholic Primary School</t>
  </si>
  <si>
    <t xml:space="preserve">               AX02U-Holly Hill Methodist CofE Infant School</t>
  </si>
  <si>
    <t>Holly Hill Methodist CofE Infant School</t>
  </si>
  <si>
    <t>AX06L- St Peters CofE Primary School</t>
  </si>
  <si>
    <t>St Peters CofE Primary School</t>
  </si>
  <si>
    <t xml:space="preserve">               AX09P-Harper Bell Seventh-Day Adventist School</t>
  </si>
  <si>
    <t>Harper Bell Seventh-Day Adventist School</t>
  </si>
  <si>
    <t>AX0BL- Selly Park Girls' School</t>
  </si>
  <si>
    <t>Selly Park Girls' School</t>
  </si>
  <si>
    <t>AX07N- Wheelers Lane Technology College</t>
  </si>
  <si>
    <t>Wheelers Lane Technology College</t>
  </si>
  <si>
    <t>AX0A4- Holte School</t>
  </si>
  <si>
    <t>Holte School</t>
  </si>
  <si>
    <t>AX0AW- Moseley School and Sixth Form</t>
  </si>
  <si>
    <t>Moseley School and Sixth Form</t>
  </si>
  <si>
    <t xml:space="preserve">               AX063-St John Wall Catholic School</t>
  </si>
  <si>
    <t>St John Wall Catholic School</t>
  </si>
  <si>
    <t>AX08U- Cardinal Wiseman Catholic School</t>
  </si>
  <si>
    <t>Cardinal Wiseman Catholic School</t>
  </si>
  <si>
    <t>AX091- Colmers School and Sixth Form College</t>
  </si>
  <si>
    <t>Colmers School and Sixth Form College</t>
  </si>
  <si>
    <t xml:space="preserve">               AX002-Al-Furqan Primary School</t>
  </si>
  <si>
    <t>Al-Furqan Primary School</t>
  </si>
  <si>
    <t xml:space="preserve">               AX03M-Longwill Primary Sch for Deaf Children</t>
  </si>
  <si>
    <t>Longwill Primary School for Deaf Children</t>
  </si>
  <si>
    <t>AX07A- Uffculme School</t>
  </si>
  <si>
    <t>Uffculme School</t>
  </si>
  <si>
    <t>AX00E- Baskerville School</t>
  </si>
  <si>
    <t>Baskerville School</t>
  </si>
  <si>
    <t xml:space="preserve">               AX00Y-Braidwood School for the Deaf</t>
  </si>
  <si>
    <t>Braidwood School for the Deaf</t>
  </si>
  <si>
    <t>AX0BK- Selly Oak Trust School</t>
  </si>
  <si>
    <t>Selly Oak Trust School</t>
  </si>
  <si>
    <t xml:space="preserve">               AX04Q-Priestley Smith School</t>
  </si>
  <si>
    <t>Priestley Smith School</t>
  </si>
  <si>
    <t xml:space="preserve">               AX04P-The Pines Special School</t>
  </si>
  <si>
    <t>The Pines Special School</t>
  </si>
  <si>
    <t xml:space="preserve">               AX05A-Springfield House Community Special Sch</t>
  </si>
  <si>
    <t>Springfield House Community Special School</t>
  </si>
  <si>
    <t xml:space="preserve">               AX021-Fox Hollies School</t>
  </si>
  <si>
    <t>Fox Hollies School</t>
  </si>
  <si>
    <t xml:space="preserve">               AX00F-Beaufort School</t>
  </si>
  <si>
    <t>Beaufort School</t>
  </si>
  <si>
    <t xml:space="preserve">               AX03K-Lindsworth School</t>
  </si>
  <si>
    <t>Lindsworth School</t>
  </si>
  <si>
    <t xml:space="preserve">               AX04G-Paganel Primary School</t>
  </si>
  <si>
    <t>Paganel Primary School</t>
  </si>
  <si>
    <t xml:space="preserve">               AX05T-St Edmund's Catholic Primary School</t>
  </si>
  <si>
    <t>St Edmund's Catholic Primary School</t>
  </si>
  <si>
    <t xml:space="preserve">               AX057-Skilts School</t>
  </si>
  <si>
    <t>Skilts School</t>
  </si>
  <si>
    <t>Hollywood Primary School</t>
  </si>
  <si>
    <t>King's Norton Boys' School</t>
  </si>
  <si>
    <t>Lakey Lane Junior and Infant School</t>
  </si>
  <si>
    <t>The Oaks Primary School</t>
  </si>
  <si>
    <t>Agreed</t>
  </si>
  <si>
    <t>No dispute</t>
  </si>
  <si>
    <t>Select School Name</t>
  </si>
  <si>
    <t>-</t>
  </si>
  <si>
    <t>SAP Fund Centre</t>
  </si>
  <si>
    <t>Latest URN</t>
  </si>
  <si>
    <t>Type of
School
Summary</t>
  </si>
  <si>
    <t>Please Select</t>
  </si>
  <si>
    <t>REAYW</t>
  </si>
  <si>
    <t>AX001</t>
  </si>
  <si>
    <t>Non Chq Bk</t>
  </si>
  <si>
    <t>Red</t>
  </si>
  <si>
    <t>Low</t>
  </si>
  <si>
    <t>REAAD</t>
  </si>
  <si>
    <t>AX085</t>
  </si>
  <si>
    <t>Chq Bk</t>
  </si>
  <si>
    <t>Amber</t>
  </si>
  <si>
    <t>Medium</t>
  </si>
  <si>
    <t>REAAE</t>
  </si>
  <si>
    <t>AX002</t>
  </si>
  <si>
    <t>Green</t>
  </si>
  <si>
    <t>High</t>
  </si>
  <si>
    <t>REAYX</t>
  </si>
  <si>
    <t>AX087</t>
  </si>
  <si>
    <t>REAAH</t>
  </si>
  <si>
    <t>AX004</t>
  </si>
  <si>
    <t>EPA</t>
  </si>
  <si>
    <t>REAAK</t>
  </si>
  <si>
    <t>AX006</t>
  </si>
  <si>
    <t>REAAM</t>
  </si>
  <si>
    <t>AX007</t>
  </si>
  <si>
    <t>REAAN</t>
  </si>
  <si>
    <t>AX008</t>
  </si>
  <si>
    <t>Yes</t>
  </si>
  <si>
    <t>REAAW</t>
  </si>
  <si>
    <t>AX00C</t>
  </si>
  <si>
    <t>No</t>
  </si>
  <si>
    <t>REAXL</t>
  </si>
  <si>
    <t>AX00E</t>
  </si>
  <si>
    <t>REAXM</t>
  </si>
  <si>
    <t>AX00F</t>
  </si>
  <si>
    <t>REAJM</t>
  </si>
  <si>
    <t>AX04L</t>
  </si>
  <si>
    <t>REAJN</t>
  </si>
  <si>
    <t>AX04M</t>
  </si>
  <si>
    <t>REAAY</t>
  </si>
  <si>
    <t>AX00G</t>
  </si>
  <si>
    <t>REAAZ</t>
  </si>
  <si>
    <t>AX00H</t>
  </si>
  <si>
    <t>REABA</t>
  </si>
  <si>
    <t>AX00J</t>
  </si>
  <si>
    <t>REABB</t>
  </si>
  <si>
    <t>AX00K</t>
  </si>
  <si>
    <t>REATE</t>
  </si>
  <si>
    <t>AX08C</t>
  </si>
  <si>
    <t>REABK</t>
  </si>
  <si>
    <t>AX00Q</t>
  </si>
  <si>
    <t>REAYY</t>
  </si>
  <si>
    <t>AX00R</t>
  </si>
  <si>
    <t>REABL</t>
  </si>
  <si>
    <t>AX08G</t>
  </si>
  <si>
    <t>REABM</t>
  </si>
  <si>
    <t>AX00T</t>
  </si>
  <si>
    <t>REAYZ</t>
  </si>
  <si>
    <t>AX00U</t>
  </si>
  <si>
    <t>REATH</t>
  </si>
  <si>
    <t>AX08J</t>
  </si>
  <si>
    <t>REABN</t>
  </si>
  <si>
    <t>AX08H</t>
  </si>
  <si>
    <t>REABR</t>
  </si>
  <si>
    <t>AX00X</t>
  </si>
  <si>
    <t>REAXN</t>
  </si>
  <si>
    <t>AX00Y</t>
  </si>
  <si>
    <t>REAZA</t>
  </si>
  <si>
    <t>AX00Z</t>
  </si>
  <si>
    <t>REABT</t>
  </si>
  <si>
    <t>AX08N</t>
  </si>
  <si>
    <t>REABV</t>
  </si>
  <si>
    <t>AX010</t>
  </si>
  <si>
    <t>REACB</t>
  </si>
  <si>
    <t>AX013</t>
  </si>
  <si>
    <t>REATN</t>
  </si>
  <si>
    <t>AX08U</t>
  </si>
  <si>
    <t>REAZB</t>
  </si>
  <si>
    <t>AX014</t>
  </si>
  <si>
    <t>REACD</t>
  </si>
  <si>
    <t>AX015</t>
  </si>
  <si>
    <t>REAXT</t>
  </si>
  <si>
    <t>AX017</t>
  </si>
  <si>
    <t>REACF</t>
  </si>
  <si>
    <t>AX018</t>
  </si>
  <si>
    <t>REACG</t>
  </si>
  <si>
    <t>AX08W</t>
  </si>
  <si>
    <t>REACK</t>
  </si>
  <si>
    <t>AX01A</t>
  </si>
  <si>
    <t>REACJ</t>
  </si>
  <si>
    <t>AX019</t>
  </si>
  <si>
    <t>REAAB</t>
  </si>
  <si>
    <t>AX073</t>
  </si>
  <si>
    <t>REACN</t>
  </si>
  <si>
    <t>AX01B</t>
  </si>
  <si>
    <t>REACP</t>
  </si>
  <si>
    <t>AX01D</t>
  </si>
  <si>
    <t>REACQ</t>
  </si>
  <si>
    <t>AX01E</t>
  </si>
  <si>
    <t>REATR</t>
  </si>
  <si>
    <t>AX091</t>
  </si>
  <si>
    <t>REACV</t>
  </si>
  <si>
    <t>AX092</t>
  </si>
  <si>
    <t>REACW</t>
  </si>
  <si>
    <t>AX093</t>
  </si>
  <si>
    <t>REACY</t>
  </si>
  <si>
    <t>AX01G</t>
  </si>
  <si>
    <t>REACZ</t>
  </si>
  <si>
    <t>AX01H</t>
  </si>
  <si>
    <t>READA</t>
  </si>
  <si>
    <t>AX01J</t>
  </si>
  <si>
    <t>READD</t>
  </si>
  <si>
    <t>AX01L</t>
  </si>
  <si>
    <t>READG</t>
  </si>
  <si>
    <t>AX01N</t>
  </si>
  <si>
    <t>REAYF</t>
  </si>
  <si>
    <t>AX01Q</t>
  </si>
  <si>
    <t>READJ</t>
  </si>
  <si>
    <t>AX01R</t>
  </si>
  <si>
    <t>READK</t>
  </si>
  <si>
    <t>AX01T</t>
  </si>
  <si>
    <t>REAZC</t>
  </si>
  <si>
    <t>AX01X</t>
  </si>
  <si>
    <t>READN</t>
  </si>
  <si>
    <t>AX01W</t>
  </si>
  <si>
    <t>READY</t>
  </si>
  <si>
    <t>AX01Z</t>
  </si>
  <si>
    <t>READX</t>
  </si>
  <si>
    <t>AX020</t>
  </si>
  <si>
    <t>REAXW</t>
  </si>
  <si>
    <t>AX021</t>
  </si>
  <si>
    <t>REAZD</t>
  </si>
  <si>
    <t>AX023</t>
  </si>
  <si>
    <t>READZ</t>
  </si>
  <si>
    <t>AX025</t>
  </si>
  <si>
    <t>REAEA</t>
  </si>
  <si>
    <t>AX026</t>
  </si>
  <si>
    <t>REAEB</t>
  </si>
  <si>
    <t>AX027</t>
  </si>
  <si>
    <t>Chq bk</t>
  </si>
  <si>
    <t>REAZE</t>
  </si>
  <si>
    <t>AX028</t>
  </si>
  <si>
    <t>REAZF</t>
  </si>
  <si>
    <t>AX029</t>
  </si>
  <si>
    <t>REAEH</t>
  </si>
  <si>
    <t>AX02C</t>
  </si>
  <si>
    <t>REAEK</t>
  </si>
  <si>
    <t>AX02D</t>
  </si>
  <si>
    <t>REAEM</t>
  </si>
  <si>
    <t>AX02F</t>
  </si>
  <si>
    <t>REAEN</t>
  </si>
  <si>
    <t>AX02G</t>
  </si>
  <si>
    <t>REAEP</t>
  </si>
  <si>
    <t>AX02H</t>
  </si>
  <si>
    <t>REAXZ</t>
  </si>
  <si>
    <t>AX02K</t>
  </si>
  <si>
    <t>REAER</t>
  </si>
  <si>
    <t>AX02L</t>
  </si>
  <si>
    <t>REAHP</t>
  </si>
  <si>
    <t>AX09P</t>
  </si>
  <si>
    <t>REAEW</t>
  </si>
  <si>
    <t>AX02M</t>
  </si>
  <si>
    <t>REAZG</t>
  </si>
  <si>
    <t>AX02P</t>
  </si>
  <si>
    <t>REAZH</t>
  </si>
  <si>
    <t>AX02R</t>
  </si>
  <si>
    <t>REAVH</t>
  </si>
  <si>
    <t>AX0A1</t>
  </si>
  <si>
    <t>REAVJ</t>
  </si>
  <si>
    <t>AX0A2</t>
  </si>
  <si>
    <t>REAFH</t>
  </si>
  <si>
    <t>AX02U</t>
  </si>
  <si>
    <t>REAFK</t>
  </si>
  <si>
    <t>AX02V</t>
  </si>
  <si>
    <t>REAVK</t>
  </si>
  <si>
    <t>AX0A4</t>
  </si>
  <si>
    <t>REAFP</t>
  </si>
  <si>
    <t>AX02Y</t>
  </si>
  <si>
    <t>REAZJ</t>
  </si>
  <si>
    <t>AX0A7</t>
  </si>
  <si>
    <t>REAFT</t>
  </si>
  <si>
    <t>AX032</t>
  </si>
  <si>
    <t>REAFW</t>
  </si>
  <si>
    <t>AX035</t>
  </si>
  <si>
    <t>REAVW</t>
  </si>
  <si>
    <t>AX036</t>
  </si>
  <si>
    <t>REAFY</t>
  </si>
  <si>
    <t>AX037</t>
  </si>
  <si>
    <t>REAZK</t>
  </si>
  <si>
    <t>AX03A</t>
  </si>
  <si>
    <t>REAGB</t>
  </si>
  <si>
    <t>AX03B</t>
  </si>
  <si>
    <t>REAGC</t>
  </si>
  <si>
    <t>AX03C</t>
  </si>
  <si>
    <t>REAGD</t>
  </si>
  <si>
    <t>AX03D</t>
  </si>
  <si>
    <t>REAGE</t>
  </si>
  <si>
    <t>AX03E</t>
  </si>
  <si>
    <t>REAYD</t>
  </si>
  <si>
    <t>AX03G</t>
  </si>
  <si>
    <t>REAZL</t>
  </si>
  <si>
    <t>AX03J</t>
  </si>
  <si>
    <t>REAYE</t>
  </si>
  <si>
    <t>AX03K</t>
  </si>
  <si>
    <t>REAGK</t>
  </si>
  <si>
    <t>AX03L</t>
  </si>
  <si>
    <t>REAYG</t>
  </si>
  <si>
    <t>AX03M</t>
  </si>
  <si>
    <t>REAGL</t>
  </si>
  <si>
    <t>AX0AN</t>
  </si>
  <si>
    <t>REAGM</t>
  </si>
  <si>
    <t>AX03N</t>
  </si>
  <si>
    <t>REAGN</t>
  </si>
  <si>
    <t>AX03P</t>
  </si>
  <si>
    <t>REAGP</t>
  </si>
  <si>
    <t>AX03Q</t>
  </si>
  <si>
    <t>REAGV</t>
  </si>
  <si>
    <t>AX03R</t>
  </si>
  <si>
    <t>REAZM</t>
  </si>
  <si>
    <t>AX03W</t>
  </si>
  <si>
    <t>REAGY</t>
  </si>
  <si>
    <t>AX03V</t>
  </si>
  <si>
    <t>REAGZ</t>
  </si>
  <si>
    <t>AX03X</t>
  </si>
  <si>
    <t>REAHC</t>
  </si>
  <si>
    <t>AX040</t>
  </si>
  <si>
    <t>REAHG</t>
  </si>
  <si>
    <t>AX041</t>
  </si>
  <si>
    <t>REAHH</t>
  </si>
  <si>
    <t>AX042</t>
  </si>
  <si>
    <t>REAWD</t>
  </si>
  <si>
    <t>AX0AW</t>
  </si>
  <si>
    <t>REAHM</t>
  </si>
  <si>
    <t>AX044</t>
  </si>
  <si>
    <t>REAHL</t>
  </si>
  <si>
    <t>AX043</t>
  </si>
  <si>
    <t>REAHN</t>
  </si>
  <si>
    <t>AX045</t>
  </si>
  <si>
    <t>REAHQ</t>
  </si>
  <si>
    <t>AX046</t>
  </si>
  <si>
    <t>REAZN</t>
  </si>
  <si>
    <t>AX047</t>
  </si>
  <si>
    <t>REAZP</t>
  </si>
  <si>
    <t>AX04B</t>
  </si>
  <si>
    <t>REAYC</t>
  </si>
  <si>
    <t>AX04C</t>
  </si>
  <si>
    <t>REAHZ</t>
  </si>
  <si>
    <t>AX04D</t>
  </si>
  <si>
    <t>REAJB</t>
  </si>
  <si>
    <t>AX04E</t>
  </si>
  <si>
    <t>REAJF</t>
  </si>
  <si>
    <t>AX04H</t>
  </si>
  <si>
    <t>REAJG</t>
  </si>
  <si>
    <t>AX04J</t>
  </si>
  <si>
    <t>REAJK</t>
  </si>
  <si>
    <t>AX04K</t>
  </si>
  <si>
    <t>REAZQ</t>
  </si>
  <si>
    <t>AX04N</t>
  </si>
  <si>
    <t>REAYK</t>
  </si>
  <si>
    <t>AX04Q</t>
  </si>
  <si>
    <t>REAWJ</t>
  </si>
  <si>
    <t>AX0BD</t>
  </si>
  <si>
    <t>REAJX</t>
  </si>
  <si>
    <t>AX04V</t>
  </si>
  <si>
    <t>REAJZ</t>
  </si>
  <si>
    <t>AX04W</t>
  </si>
  <si>
    <t>REAKA</t>
  </si>
  <si>
    <t>AX04X</t>
  </si>
  <si>
    <t>REAKB</t>
  </si>
  <si>
    <t>AX04Y</t>
  </si>
  <si>
    <t>REAKC</t>
  </si>
  <si>
    <t>AX04Z</t>
  </si>
  <si>
    <t>REAZT</t>
  </si>
  <si>
    <t>AX052</t>
  </si>
  <si>
    <t>REAZU</t>
  </si>
  <si>
    <t>AX053</t>
  </si>
  <si>
    <t>REAYM</t>
  </si>
  <si>
    <t>AX0BK</t>
  </si>
  <si>
    <t>REAWL</t>
  </si>
  <si>
    <t>AX0BL</t>
  </si>
  <si>
    <t>REAKK</t>
  </si>
  <si>
    <t>AX054</t>
  </si>
  <si>
    <t>REAKL</t>
  </si>
  <si>
    <t>AX055</t>
  </si>
  <si>
    <t>REAZV</t>
  </si>
  <si>
    <t>AX056</t>
  </si>
  <si>
    <t>REAKR</t>
  </si>
  <si>
    <t>AX0BR</t>
  </si>
  <si>
    <t>REAKT</t>
  </si>
  <si>
    <t>AX059</t>
  </si>
  <si>
    <t>REAYP</t>
  </si>
  <si>
    <t>AX05A</t>
  </si>
  <si>
    <t>REAMB</t>
  </si>
  <si>
    <t>AX061</t>
  </si>
  <si>
    <t>REAKX</t>
  </si>
  <si>
    <t>AX05C</t>
  </si>
  <si>
    <t>REAKY</t>
  </si>
  <si>
    <t>AX05D</t>
  </si>
  <si>
    <t>REALA</t>
  </si>
  <si>
    <t>AX05E</t>
  </si>
  <si>
    <t>REALB</t>
  </si>
  <si>
    <t>AX05F</t>
  </si>
  <si>
    <t>REALD</t>
  </si>
  <si>
    <t>AX05H</t>
  </si>
  <si>
    <t>REALE</t>
  </si>
  <si>
    <t>AX05J</t>
  </si>
  <si>
    <t>REALF</t>
  </si>
  <si>
    <t>AX05K</t>
  </si>
  <si>
    <t>REALH</t>
  </si>
  <si>
    <t>AX05L</t>
  </si>
  <si>
    <t>REALK</t>
  </si>
  <si>
    <t>AX05N</t>
  </si>
  <si>
    <t>REALN</t>
  </si>
  <si>
    <t>AX05P</t>
  </si>
  <si>
    <t>REALP</t>
  </si>
  <si>
    <t>AX05Q</t>
  </si>
  <si>
    <t>REALR</t>
  </si>
  <si>
    <t>AX05U</t>
  </si>
  <si>
    <t>REALV</t>
  </si>
  <si>
    <t>AX05V</t>
  </si>
  <si>
    <t>REALY</t>
  </si>
  <si>
    <t>AX05Y</t>
  </si>
  <si>
    <t>REALZ</t>
  </si>
  <si>
    <t>AX05Z</t>
  </si>
  <si>
    <t>REAWV</t>
  </si>
  <si>
    <t>AX063</t>
  </si>
  <si>
    <t>REAMJ</t>
  </si>
  <si>
    <t>AX066</t>
  </si>
  <si>
    <t>REAMK</t>
  </si>
  <si>
    <t>AX067</t>
  </si>
  <si>
    <t>REAML</t>
  </si>
  <si>
    <t>AX068</t>
  </si>
  <si>
    <t>REAMN</t>
  </si>
  <si>
    <t>AX069</t>
  </si>
  <si>
    <t>REAMQ</t>
  </si>
  <si>
    <t>AX06B</t>
  </si>
  <si>
    <t>REAMW</t>
  </si>
  <si>
    <t>AX06E</t>
  </si>
  <si>
    <t>REAMV</t>
  </si>
  <si>
    <t>AX06D</t>
  </si>
  <si>
    <t>REAMX</t>
  </si>
  <si>
    <t>AX06F</t>
  </si>
  <si>
    <t>St Patrick and St Edmund's Catholic Primary School</t>
  </si>
  <si>
    <t>REANB</t>
  </si>
  <si>
    <t>AX06H</t>
  </si>
  <si>
    <t>REAWX</t>
  </si>
  <si>
    <t>AX0C4</t>
  </si>
  <si>
    <t>REANG</t>
  </si>
  <si>
    <t>AX06M</t>
  </si>
  <si>
    <t>REANF</t>
  </si>
  <si>
    <t>AX06L</t>
  </si>
  <si>
    <t>REANH</t>
  </si>
  <si>
    <t>AX06N</t>
  </si>
  <si>
    <t>REANJ</t>
  </si>
  <si>
    <t>AX06P</t>
  </si>
  <si>
    <t>REAZR</t>
  </si>
  <si>
    <t>AX06R</t>
  </si>
  <si>
    <t>REANM</t>
  </si>
  <si>
    <t>AX06U</t>
  </si>
  <si>
    <t>REANP</t>
  </si>
  <si>
    <t>AX06W</t>
  </si>
  <si>
    <t>REANR</t>
  </si>
  <si>
    <t>AX06Y</t>
  </si>
  <si>
    <t>REAJP</t>
  </si>
  <si>
    <t>AX070</t>
  </si>
  <si>
    <t>REANV</t>
  </si>
  <si>
    <t>AX071</t>
  </si>
  <si>
    <t>REANW</t>
  </si>
  <si>
    <t>AX072</t>
  </si>
  <si>
    <t>REAXB</t>
  </si>
  <si>
    <t>AX0C8</t>
  </si>
  <si>
    <t>REAXV</t>
  </si>
  <si>
    <t>AX01M</t>
  </si>
  <si>
    <t>REAHA</t>
  </si>
  <si>
    <t>AX03Z</t>
  </si>
  <si>
    <t>REAHX</t>
  </si>
  <si>
    <t>AX049</t>
  </si>
  <si>
    <t>REAYJ</t>
  </si>
  <si>
    <t>AX04P</t>
  </si>
  <si>
    <t>REANY</t>
  </si>
  <si>
    <t>AX075</t>
  </si>
  <si>
    <t>REAYQ</t>
  </si>
  <si>
    <t>AX07A</t>
  </si>
  <si>
    <t>REAYT</t>
  </si>
  <si>
    <t>AX0CG</t>
  </si>
  <si>
    <t>REAPH</t>
  </si>
  <si>
    <t>AX0CH</t>
  </si>
  <si>
    <t>REAPJ</t>
  </si>
  <si>
    <t>AX0CJ</t>
  </si>
  <si>
    <t>REAPK</t>
  </si>
  <si>
    <t>AX07B</t>
  </si>
  <si>
    <t>REAZW</t>
  </si>
  <si>
    <t>AX07D</t>
  </si>
  <si>
    <t>REAPM</t>
  </si>
  <si>
    <t>AX07E</t>
  </si>
  <si>
    <t>REAPP</t>
  </si>
  <si>
    <t>AX07F</t>
  </si>
  <si>
    <t>REAPQ</t>
  </si>
  <si>
    <t>AX0CL</t>
  </si>
  <si>
    <t>REAPR</t>
  </si>
  <si>
    <t>AX07H</t>
  </si>
  <si>
    <t>REAZX</t>
  </si>
  <si>
    <t>AX07J</t>
  </si>
  <si>
    <t>REAZY</t>
  </si>
  <si>
    <t>AX07K</t>
  </si>
  <si>
    <t>REAPV</t>
  </si>
  <si>
    <t>AX07L</t>
  </si>
  <si>
    <t>REAPY</t>
  </si>
  <si>
    <t>AX07P</t>
  </si>
  <si>
    <t>REAXJ</t>
  </si>
  <si>
    <t>AX07N</t>
  </si>
  <si>
    <t>REAPZ</t>
  </si>
  <si>
    <t>AX07Q</t>
  </si>
  <si>
    <t>REARA</t>
  </si>
  <si>
    <t>AX07T</t>
  </si>
  <si>
    <t>REARC</t>
  </si>
  <si>
    <t>AX07U</t>
  </si>
  <si>
    <t>REARD</t>
  </si>
  <si>
    <t>AX07V</t>
  </si>
  <si>
    <t>REARF</t>
  </si>
  <si>
    <t>AX07W</t>
  </si>
  <si>
    <t>REARG</t>
  </si>
  <si>
    <t>AX07X</t>
  </si>
  <si>
    <t>REARH</t>
  </si>
  <si>
    <t>AX0CQ</t>
  </si>
  <si>
    <t>REARL</t>
  </si>
  <si>
    <t>AX07Y</t>
  </si>
  <si>
    <t>REARQ</t>
  </si>
  <si>
    <t>AX080</t>
  </si>
  <si>
    <t>REARR</t>
  </si>
  <si>
    <t>AX081</t>
  </si>
  <si>
    <t>REARY</t>
  </si>
  <si>
    <t>AX083</t>
  </si>
  <si>
    <t>Instructions for using the Deficit Recovery Plan (DRP) Template</t>
  </si>
  <si>
    <t>When copying data over the templates in the tabs, please ensure you copy into the correct columns otherwise the links will not work correctly</t>
  </si>
  <si>
    <t>Cells highlighted in the colour lemon are either pre-populated or will populate from other places in the template.</t>
  </si>
  <si>
    <t>Cells highlighted in the colour light blue will need to be populated when completing the DRP template</t>
  </si>
  <si>
    <t>TAB</t>
  </si>
  <si>
    <t>Summary</t>
  </si>
  <si>
    <t>In cell C5, select your school name</t>
  </si>
  <si>
    <t>BUDGET PLAN</t>
  </si>
  <si>
    <t>Actuals in the budget plan for financial year 2023/24 will self-populate - Note, these are the figures agreed with schools for the closure of accounts 2023/24.  Any adjustments to these figures will need to be made in the 2024/25 forecast column. The remaining cells will automatically populated from the Budget Plan tab</t>
  </si>
  <si>
    <t>Pupil Numbers</t>
  </si>
  <si>
    <t>Data will populated from the PAN - NOR tab</t>
  </si>
  <si>
    <t>BACKGROUND</t>
  </si>
  <si>
    <t>Complete this section with high level information taken from the Narrative tab</t>
  </si>
  <si>
    <t>WHERE WERE POTENTIAL SAVINGS IDENTIFIED</t>
  </si>
  <si>
    <t>Some cells will populate from the Establishment tab.  Light blue cells will need to be manually populated</t>
  </si>
  <si>
    <t>KPI ANALYSIS</t>
  </si>
  <si>
    <t>Data will populated using other tabs and pre-determined calculations</t>
  </si>
  <si>
    <t>Other areas in this tab highlighted in the colour lemon will self-populate once other tabs in the plan are completed.  You will need to add information into the cells highlighted light blue</t>
  </si>
  <si>
    <t>Narrative</t>
  </si>
  <si>
    <t>The story - what led to the school being in a deficit budget position, what actions have been taken so far, What are the next steps</t>
  </si>
  <si>
    <t>Project Group Actions</t>
  </si>
  <si>
    <t xml:space="preserve">Set out the actions already taken and to be  taken to achieve financial recovery within 3 years.  </t>
  </si>
  <si>
    <t>Budget Plan</t>
  </si>
  <si>
    <t>2023//24 Outturn self-populate based on the  agreed closing figures.  The remaining columns will need to be completed by the school taking account of any planned changes to ensure financial recovery within 3 years.  An additional 2 years of budget plans are required for additional information.</t>
  </si>
  <si>
    <t>PAN - NOR</t>
  </si>
  <si>
    <t>Complete this tab with actual and forecasts PAN and NOR</t>
  </si>
  <si>
    <t>Establishment</t>
  </si>
  <si>
    <t>Current Organisation Chart</t>
  </si>
  <si>
    <t>Complete the template provided by Birmingham's schools finance</t>
  </si>
  <si>
    <t>Organisation Chart (post re org)</t>
  </si>
  <si>
    <t>Update the current organisation chart with all changes related to the reorganisation.  Only to be completed if a reorganisation or change in staffing has been made since the ratified budget was agreed</t>
  </si>
  <si>
    <t>Redundancy</t>
  </si>
  <si>
    <t>Complete this tab with estimate of redundancy costs and FTE's.  Use this calculator for the purpose of completing the DRP.  https://www.gov.uk/calculate-your-redundancy-pay/y .  Once restructure has been agreed and actual costs and FTE's can be resubmitted.</t>
  </si>
  <si>
    <t>Pension Strain</t>
  </si>
  <si>
    <t>Complete this tab with estimate of pension strain costs and FTE's.  Once restructure has been agreed and actual costs and FTE's can be resubmitted.</t>
  </si>
  <si>
    <t>EHCP Pupil and Resouces</t>
  </si>
  <si>
    <t>Complete this tab with both known and forecasted pupil numbers and costs</t>
  </si>
  <si>
    <t>Contracts</t>
  </si>
  <si>
    <t>List all current contract information as required in this tab.  Also include future contracts if they have been confirmed/committed</t>
  </si>
  <si>
    <t>PTR, Contact Ratio Guidance Notes</t>
  </si>
  <si>
    <t>Please read this guidance tab prior to completing the PTR, Contact ratio tab</t>
  </si>
  <si>
    <t xml:space="preserve">PTR, Contact Ratio </t>
  </si>
  <si>
    <t>Complete in accordance to the guidance tab.  PPE and teachers out on schools trips do not need to be accounted for separately</t>
  </si>
  <si>
    <t>Teaching Staff Detailed Report</t>
  </si>
  <si>
    <t>Run the detailed staffing report from Access  - The CFR codes used may differ from school to school so please just use the ones pertinent to your school and copy and paste remembering to allow for additional lines if appropriate so that the leadership table below doesn't distort</t>
  </si>
  <si>
    <t>Support Staff Detailed Report</t>
  </si>
  <si>
    <t>Run Detailed staffing report from Access - The CFR codes used may differ from school to school so please just use the ones pertinent to your school and copy and paste remembering to allow for additional lines if appropriate so that the leadership table below doesn't distort</t>
  </si>
  <si>
    <t>Benchmarking</t>
  </si>
  <si>
    <t xml:space="preserve">Drop in this information from your usual source, DfE, VMFI etc. </t>
  </si>
  <si>
    <t>Minutes of Meeting</t>
  </si>
  <si>
    <t>Drop the file for minutes of the meeting where the school Governing Body agreed the deficit recovery plan.  Instruction on how to do this are given in the tab.</t>
  </si>
  <si>
    <r>
      <t xml:space="preserve">Please note that contained within the detailed staff reports tabs, there are instructions within the tabs to aid completion, additional lines may need to be entered for other CFR categories.  </t>
    </r>
    <r>
      <rPr>
        <b/>
        <sz val="10"/>
        <color rgb="FFFF0000"/>
        <rFont val="Arial"/>
        <family val="2"/>
      </rPr>
      <t xml:space="preserve">Please Note the file transfers into excel with text cell at the bottom of each category rather than numeric.  </t>
    </r>
  </si>
  <si>
    <t>Please reformat if you have additional lines to the example on the template and ensure these link to the final box on the data summary sheet leadership tables correctly</t>
  </si>
  <si>
    <t>Please also note that if any lines are added or deleted in the tabs, that you account for this and check that the summary tab is pulling through the correct cells.   This is especially pertinent for the SLT data on the staff detailed reports tabs as schools have varying numbers of lines in the detailed staffing reports exported from Access</t>
  </si>
  <si>
    <t> </t>
  </si>
  <si>
    <t>CFR</t>
  </si>
  <si>
    <t>Consistent Financial Reporting</t>
  </si>
  <si>
    <t>DfE</t>
  </si>
  <si>
    <t>Department for Education</t>
  </si>
  <si>
    <t>DRP</t>
  </si>
  <si>
    <t>Deficit Recovery Plan</t>
  </si>
  <si>
    <t>EHCP</t>
  </si>
  <si>
    <t>Education Health Care Plan</t>
  </si>
  <si>
    <t>FTE</t>
  </si>
  <si>
    <t>Full Time Equivalent</t>
  </si>
  <si>
    <t>KPI</t>
  </si>
  <si>
    <t>Key Performance Indicators</t>
  </si>
  <si>
    <t>NOR</t>
  </si>
  <si>
    <t>Number on Roll</t>
  </si>
  <si>
    <t>PAN</t>
  </si>
  <si>
    <t>Published Admission Number</t>
  </si>
  <si>
    <t>PPE</t>
  </si>
  <si>
    <t>Planning, Prep and Evaluation</t>
  </si>
  <si>
    <t>PTR</t>
  </si>
  <si>
    <t>Pupil Teacher Ratio</t>
  </si>
  <si>
    <t>VMFI</t>
  </si>
  <si>
    <t>View My Financial Insights</t>
  </si>
  <si>
    <t>User guide: view my financial insights - GOV.UK</t>
  </si>
  <si>
    <t>School Deficit Recovery Plan</t>
  </si>
  <si>
    <t xml:space="preserve">Name of School </t>
  </si>
  <si>
    <t>DfE No</t>
  </si>
  <si>
    <t>Actual</t>
  </si>
  <si>
    <t>Forecast</t>
  </si>
  <si>
    <t xml:space="preserve">2023/24 </t>
  </si>
  <si>
    <t>2024/25</t>
  </si>
  <si>
    <t>2025/26</t>
  </si>
  <si>
    <t>2026/27</t>
  </si>
  <si>
    <t>2027/28</t>
  </si>
  <si>
    <t>2028/29</t>
  </si>
  <si>
    <t>2029/30</t>
  </si>
  <si>
    <t>Balance b/f</t>
  </si>
  <si>
    <t xml:space="preserve">Income </t>
  </si>
  <si>
    <t>Expenditure</t>
  </si>
  <si>
    <t>In-year Surplus/(Deficit)</t>
  </si>
  <si>
    <t>Cumulative Surplus/(Deficit)</t>
  </si>
  <si>
    <t>Balance as % of Annual Income</t>
  </si>
  <si>
    <t>PUPIL NUMBERS</t>
  </si>
  <si>
    <t>Academic Year</t>
  </si>
  <si>
    <t>On Roll</t>
  </si>
  <si>
    <t>How did the deficit occur?</t>
  </si>
  <si>
    <t>What actions have you taken to enable you to put a Deficit Repayment Plan in place?</t>
  </si>
  <si>
    <t>How will you balance your budget in-year?</t>
  </si>
  <si>
    <t>What are your proposals for repaying the deficit?</t>
  </si>
  <si>
    <t>How will you maintain an in-year surplus balance moving forward?</t>
  </si>
  <si>
    <t>Area where potential savings identified</t>
  </si>
  <si>
    <t>Proposed areas for achieving savings 2025/2026 (£)</t>
  </si>
  <si>
    <t>Proposed areas for achieving savings 2026/2027 (£)</t>
  </si>
  <si>
    <t>Proposed areas for achieving savings 2027/2028 (£)</t>
  </si>
  <si>
    <t>Proposed areas for achieving savings 2028/2029 (£)</t>
  </si>
  <si>
    <t>Proposed areas for achieving savings 2029/30 (£)</t>
  </si>
  <si>
    <t>Comments</t>
  </si>
  <si>
    <t>Teaching Staff</t>
  </si>
  <si>
    <t>Teaching Assistants</t>
  </si>
  <si>
    <t>Leadership (On LD scale)</t>
  </si>
  <si>
    <t>Admin Staff</t>
  </si>
  <si>
    <t>Building Services Supervisor</t>
  </si>
  <si>
    <t>Cleaning Staff</t>
  </si>
  <si>
    <t>Catering Staff</t>
  </si>
  <si>
    <t>MDSA</t>
  </si>
  <si>
    <t>Other Staff Category</t>
  </si>
  <si>
    <t>Premises</t>
  </si>
  <si>
    <t>Supplies and Services</t>
  </si>
  <si>
    <t>Spare (adjust as necessary)</t>
  </si>
  <si>
    <t>Income</t>
  </si>
  <si>
    <t>Total Savings</t>
  </si>
  <si>
    <t>KPI Analysis:</t>
  </si>
  <si>
    <t>Staffing costs versus in-year income (%)</t>
  </si>
  <si>
    <t>Staffing costs versus expenditure (%)</t>
  </si>
  <si>
    <t>Average Class Size</t>
  </si>
  <si>
    <t>Average Teacher Cost (£)</t>
  </si>
  <si>
    <t>Teacher Contact Ratio</t>
  </si>
  <si>
    <t>FTE Teaching Staff</t>
  </si>
  <si>
    <t>FTE Teaching Assistants</t>
  </si>
  <si>
    <t>FTE Leadership (On LD scale)</t>
  </si>
  <si>
    <t>FTE Admin Staff</t>
  </si>
  <si>
    <t>FTE Building Services Supervisor</t>
  </si>
  <si>
    <t>FTE Cleaning Staff</t>
  </si>
  <si>
    <t>FTE Catering Staff</t>
  </si>
  <si>
    <t>FTE MDSA</t>
  </si>
  <si>
    <t>FTE Other Staff Category</t>
  </si>
  <si>
    <t>Authorisation</t>
  </si>
  <si>
    <t xml:space="preserve">This plan has been discussed and minuted at the Governing Body Meeting held on </t>
  </si>
  <si>
    <t>DD/MM/YYYY</t>
  </si>
  <si>
    <t>Minutes off Meeting attached</t>
  </si>
  <si>
    <t>Signed by</t>
  </si>
  <si>
    <t>Head Teacher</t>
  </si>
  <si>
    <t>Name</t>
  </si>
  <si>
    <t xml:space="preserve"> (please insert here)</t>
  </si>
  <si>
    <t>Chair of Governors</t>
  </si>
  <si>
    <t>Local Authority Sign Off</t>
  </si>
  <si>
    <t>This plan has been discussed and Approved</t>
  </si>
  <si>
    <t>Director of Finance (S.151)</t>
  </si>
  <si>
    <t>Director of Children's Services</t>
  </si>
  <si>
    <t>Finance Business Partner</t>
  </si>
  <si>
    <t xml:space="preserve">Licence Deficit </t>
  </si>
  <si>
    <t>Deficit Recovery Plan Details</t>
  </si>
  <si>
    <t>Background (What happened to cause the budget deficit)</t>
  </si>
  <si>
    <t>Actions taken so far</t>
  </si>
  <si>
    <t>Next Steps</t>
  </si>
  <si>
    <t>Financial Year in which an in year balanced budget is forecasted</t>
  </si>
  <si>
    <t>Financial Year in which the deficit is eradicated</t>
  </si>
  <si>
    <t>Actions</t>
  </si>
  <si>
    <t>Date to be achieved by</t>
  </si>
  <si>
    <t>Owner</t>
  </si>
  <si>
    <t>Impact</t>
  </si>
  <si>
    <t>Financial Impact £</t>
  </si>
  <si>
    <t>Interdependents</t>
  </si>
  <si>
    <t>Severity of Risk</t>
  </si>
  <si>
    <t xml:space="preserve">Achieved </t>
  </si>
  <si>
    <t>School Financial Deficit Recovery Plan</t>
  </si>
  <si>
    <t>Deficit Recovery/Repayment</t>
  </si>
  <si>
    <t xml:space="preserve">Future Plan </t>
  </si>
  <si>
    <t>Details</t>
  </si>
  <si>
    <t>2023/24 Outturn</t>
  </si>
  <si>
    <t>2024/25 Budget Plan</t>
  </si>
  <si>
    <t>2024/25 Forecast Outturn</t>
  </si>
  <si>
    <t>2024/25 Forecast Variance (plan v forecast outturn)</t>
  </si>
  <si>
    <t>2025/26 Budget Plan - Year 1</t>
  </si>
  <si>
    <t>2026/27 Budget Plan - Year 2</t>
  </si>
  <si>
    <t>2027/28 Budget Plan - Year 3</t>
  </si>
  <si>
    <t>2028/29 Budget Plan - Year 4</t>
  </si>
  <si>
    <t>2029/30 Budget Plan - Year 5</t>
  </si>
  <si>
    <t>In year budget basis and breakdown</t>
  </si>
  <si>
    <t>Budget risks and Uncertainties</t>
  </si>
  <si>
    <t>Forecast Calculation/support</t>
  </si>
  <si>
    <t>RAG rating</t>
  </si>
  <si>
    <t>Opening Revenue Balance</t>
  </si>
  <si>
    <t>Committed Revenue Balance</t>
  </si>
  <si>
    <t>Rag Rating</t>
  </si>
  <si>
    <t>Uncommitted Revenue Balance</t>
  </si>
  <si>
    <t>Devolved Formula Capital Balance</t>
  </si>
  <si>
    <t>Other Capital Balances</t>
  </si>
  <si>
    <t>Community Focused School Revenue Balances</t>
  </si>
  <si>
    <t>Total Opening Balance</t>
  </si>
  <si>
    <t>Funds Delegated by the LA</t>
  </si>
  <si>
    <t>Funding for Sixth Form Students</t>
  </si>
  <si>
    <t>High Needs Top-up Funding</t>
  </si>
  <si>
    <t>Funding for Minority Ethnic Pupils</t>
  </si>
  <si>
    <t>Pupil Premium</t>
  </si>
  <si>
    <t>Other Government Grants</t>
  </si>
  <si>
    <t>Other Grants and Payments Received</t>
  </si>
  <si>
    <t>Income from letting premises</t>
  </si>
  <si>
    <t>Other income from facilities and services</t>
  </si>
  <si>
    <t>Income from Catering</t>
  </si>
  <si>
    <t>Receipts from Supply Teachers Insurance Claims</t>
  </si>
  <si>
    <t>Receipts from Other Insurance Claims</t>
  </si>
  <si>
    <t>Income from Contributions to Educational Visits</t>
  </si>
  <si>
    <t>Donations and/or Voluntary Funds</t>
  </si>
  <si>
    <t>Pupil-Focused Extended School Funding and/or Grants</t>
  </si>
  <si>
    <t>Community Focused Funding and/or Grants</t>
  </si>
  <si>
    <t>Community Focused Facilities Income</t>
  </si>
  <si>
    <t>I18A</t>
  </si>
  <si>
    <t>Income from the Coronavirus Job Retention Scheme</t>
  </si>
  <si>
    <t>I18B</t>
  </si>
  <si>
    <t>Income from the DfE grant scheme for reimbursing exceptional costs</t>
  </si>
  <si>
    <t>I18C</t>
  </si>
  <si>
    <t>income from the COVID-19 catch-up</t>
  </si>
  <si>
    <t>I18D</t>
  </si>
  <si>
    <t>Income from other additional grants</t>
  </si>
  <si>
    <t>Total Income Revenue</t>
  </si>
  <si>
    <t>Supply Teaching Staff</t>
  </si>
  <si>
    <t>Education Support Staff</t>
  </si>
  <si>
    <t>Premises Staff</t>
  </si>
  <si>
    <t>Administrative Staff and Clerical Staff</t>
  </si>
  <si>
    <t>Cost of Other staff</t>
  </si>
  <si>
    <t>Indirect Employee Expenses</t>
  </si>
  <si>
    <t>Staff Development and Training</t>
  </si>
  <si>
    <t>Supply Teacher Insurance</t>
  </si>
  <si>
    <t>Staff Related Insurance</t>
  </si>
  <si>
    <t>Building Maintenance and Improvement</t>
  </si>
  <si>
    <t>Grounds Maintenance and Improvement</t>
  </si>
  <si>
    <t>Cleaning and Caretaking</t>
  </si>
  <si>
    <t>Water and Sewerage</t>
  </si>
  <si>
    <t>Energy</t>
  </si>
  <si>
    <t>Rates</t>
  </si>
  <si>
    <t>Other Occupation Costs</t>
  </si>
  <si>
    <t>Learning Resources</t>
  </si>
  <si>
    <t>ICT Learning Resources</t>
  </si>
  <si>
    <t>Examination Fees</t>
  </si>
  <si>
    <t>Administrative Supplies</t>
  </si>
  <si>
    <t>Other Insurance Costs</t>
  </si>
  <si>
    <t>Special Facilities</t>
  </si>
  <si>
    <t>Catering Supplies</t>
  </si>
  <si>
    <t>Agency Supply Teaching Staff</t>
  </si>
  <si>
    <t>Bought in Professional Services - Curriculum</t>
  </si>
  <si>
    <t>Bought-in professional services - other(except PFI)</t>
  </si>
  <si>
    <t>Bought-in professional services - other (PFI)</t>
  </si>
  <si>
    <t>Loan Interest</t>
  </si>
  <si>
    <t>Direct Revenue Financing (revenue contributions to capital)</t>
  </si>
  <si>
    <t>Community Focused School Staff</t>
  </si>
  <si>
    <t>Community Focused School Costs</t>
  </si>
  <si>
    <t>Total Expenditure Revenue</t>
  </si>
  <si>
    <t>In Year Surplus / (Deficit)</t>
  </si>
  <si>
    <t>Surplus / (Deficit) Brought Fwd.</t>
  </si>
  <si>
    <t>Cumulative Surplus / (Deficit) C/Fwd.</t>
  </si>
  <si>
    <t>Voluntary or Private income</t>
  </si>
  <si>
    <t xml:space="preserve">Total Capital Income </t>
  </si>
  <si>
    <t>Budget</t>
  </si>
  <si>
    <t>Acquisition of Land and Existing Buildings</t>
  </si>
  <si>
    <t>New Construction Conversion and Renovation</t>
  </si>
  <si>
    <t>Vehicles, Plant, Equipment and Machinery</t>
  </si>
  <si>
    <t>Information and Communication Technology</t>
  </si>
  <si>
    <t>Planned Admission Numbers (PAN) / Number on Roll</t>
  </si>
  <si>
    <t>Pupil numbers on roll per year group: Academic Year</t>
  </si>
  <si>
    <t>Nursery (if applicable)</t>
  </si>
  <si>
    <t>Reception</t>
  </si>
  <si>
    <t>Year 1</t>
  </si>
  <si>
    <t>Year 2</t>
  </si>
  <si>
    <t>Year 3</t>
  </si>
  <si>
    <t>Year 4</t>
  </si>
  <si>
    <t>Year 5</t>
  </si>
  <si>
    <t>Year 6</t>
  </si>
  <si>
    <t>Year 7</t>
  </si>
  <si>
    <t>Year 8</t>
  </si>
  <si>
    <t>Year 9</t>
  </si>
  <si>
    <t>Year 10</t>
  </si>
  <si>
    <t>Year 11</t>
  </si>
  <si>
    <t>Year 12</t>
  </si>
  <si>
    <t>Year 13</t>
  </si>
  <si>
    <t>Year 14</t>
  </si>
  <si>
    <t>Total</t>
  </si>
  <si>
    <t>Establishment Information</t>
  </si>
  <si>
    <t xml:space="preserve"> FTE</t>
  </si>
  <si>
    <t>Cost in £</t>
  </si>
  <si>
    <t>2024/25 Actual</t>
  </si>
  <si>
    <t>2025/26 Budget</t>
  </si>
  <si>
    <t>2026/27 Budget</t>
  </si>
  <si>
    <t>2027/28 Budget</t>
  </si>
  <si>
    <t>2028/29 Budget</t>
  </si>
  <si>
    <t>2029/30 Budget</t>
  </si>
  <si>
    <t xml:space="preserve">Current Staffing </t>
  </si>
  <si>
    <t>Current Organisation - Example</t>
  </si>
  <si>
    <t xml:space="preserve">Proposed Staffing </t>
  </si>
  <si>
    <t>Re-organisation in Costs - Example</t>
  </si>
  <si>
    <t>Leadership</t>
  </si>
  <si>
    <t>1 x HT</t>
  </si>
  <si>
    <t>Deputy</t>
  </si>
  <si>
    <t>1 x EY Lead</t>
  </si>
  <si>
    <t>Children's Centre</t>
  </si>
  <si>
    <t xml:space="preserve">Admin </t>
  </si>
  <si>
    <t>Yr6</t>
  </si>
  <si>
    <t>SBM</t>
  </si>
  <si>
    <t xml:space="preserve">1 x Teacher </t>
  </si>
  <si>
    <t>Admin</t>
  </si>
  <si>
    <t>1 x TA (to end Aug 23)</t>
  </si>
  <si>
    <t>Prem</t>
  </si>
  <si>
    <t>0.5 SEN TA (to end Aug 23)</t>
  </si>
  <si>
    <t>0.5 TA (from Sept)</t>
  </si>
  <si>
    <t>0.3 SEN TA (From Sept)</t>
  </si>
  <si>
    <t xml:space="preserve">EYSF </t>
  </si>
  <si>
    <t>1 x EYSF Teacher</t>
  </si>
  <si>
    <t>1 x EY Educator</t>
  </si>
  <si>
    <t>Children Centre</t>
  </si>
  <si>
    <t>EYE Room Lead</t>
  </si>
  <si>
    <t>1 x SEN TA</t>
  </si>
  <si>
    <t>1 x SEN TA Agency</t>
  </si>
  <si>
    <t>EYE</t>
  </si>
  <si>
    <t>EYE Vacancy</t>
  </si>
  <si>
    <t xml:space="preserve">Yr1 </t>
  </si>
  <si>
    <t xml:space="preserve">2 x EYE Work Force </t>
  </si>
  <si>
    <t>Pastoral Team</t>
  </si>
  <si>
    <t>1 x Teacher</t>
  </si>
  <si>
    <t>Inclusion Team</t>
  </si>
  <si>
    <t>Extended Day</t>
  </si>
  <si>
    <t>1 x TA</t>
  </si>
  <si>
    <t>Inclusion</t>
  </si>
  <si>
    <t>1 x SENDCO</t>
  </si>
  <si>
    <t>Yr2</t>
  </si>
  <si>
    <t>1 x Pastoral/Welfare</t>
  </si>
  <si>
    <t>1 x Teacher (to end Aug 23)</t>
  </si>
  <si>
    <t xml:space="preserve">1 x Learning Mentor </t>
  </si>
  <si>
    <t>.02 Deputy (to end Aug 23)</t>
  </si>
  <si>
    <t>1 x Teacher (from Sept)</t>
  </si>
  <si>
    <t>ASC</t>
  </si>
  <si>
    <t>BC</t>
  </si>
  <si>
    <t>Yr3</t>
  </si>
  <si>
    <t>1 x Agency Teacher</t>
  </si>
  <si>
    <t>0.5 Agency TA (from Sept)</t>
  </si>
  <si>
    <t>Midday Meals</t>
  </si>
  <si>
    <t>0.5 x SEN TA (to end July 2023)</t>
  </si>
  <si>
    <t>LT Supervisor</t>
  </si>
  <si>
    <t>1 x SEN TA (from Sept 2023)</t>
  </si>
  <si>
    <t>Support</t>
  </si>
  <si>
    <t xml:space="preserve">0.4 HLTA </t>
  </si>
  <si>
    <t>Yr4</t>
  </si>
  <si>
    <t>1 x Agency Teacher (Summer Term)</t>
  </si>
  <si>
    <t>1 x Teacher (Autumn Term)</t>
  </si>
  <si>
    <t>0.5 Agency TA (to end July)</t>
  </si>
  <si>
    <t>0.5 SEN TA (to end Aug)</t>
  </si>
  <si>
    <t>0.33 SEN TA</t>
  </si>
  <si>
    <t>Yr5</t>
  </si>
  <si>
    <t>Staffing Costs Inc Agency</t>
  </si>
  <si>
    <t>Agency Staffing costs</t>
  </si>
  <si>
    <t>Staffing Costs Less Agency</t>
  </si>
  <si>
    <t>Redundancy BCC Pressure</t>
  </si>
  <si>
    <t>FTE equivalent</t>
  </si>
  <si>
    <t>Estimated Cost in £ (to be completed with BCC Human Resources and Pensions Service following submission of this pack)</t>
  </si>
  <si>
    <t>Actual Cost in £ (to be completed with BCC Human Resources and Pensions Service following submission of this pack)</t>
  </si>
  <si>
    <t xml:space="preserve"> Use this calculator to help get estimates for redundancy costs https://www.gov.uk/calculate-your-redundancy-pay/y</t>
  </si>
  <si>
    <t>Pension Strain School Pressure</t>
  </si>
  <si>
    <t>SEN Funding</t>
  </si>
  <si>
    <t>Apr 24 - Aug 24</t>
  </si>
  <si>
    <t>Sept 24 - Mar 25</t>
  </si>
  <si>
    <t>In Year Payment Received</t>
  </si>
  <si>
    <t>Pupil Name</t>
  </si>
  <si>
    <t>Year Group</t>
  </si>
  <si>
    <t>Named Support</t>
  </si>
  <si>
    <t>Perm/Agency</t>
  </si>
  <si>
    <t>Cost for Support £</t>
  </si>
  <si>
    <t>Total Cost for Support</t>
  </si>
  <si>
    <t>EHCP Allocation £</t>
  </si>
  <si>
    <t>Notional Cost £</t>
  </si>
  <si>
    <t>Combined Total £</t>
  </si>
  <si>
    <t>Costs for Resources £</t>
  </si>
  <si>
    <t>Variance £</t>
  </si>
  <si>
    <t>Estimate Budget 23-24</t>
  </si>
  <si>
    <t>Estimate Budget 24-25</t>
  </si>
  <si>
    <t>Estimate Budget 25-26</t>
  </si>
  <si>
    <t>Date Plan Agreed</t>
  </si>
  <si>
    <t>Additional Notes</t>
  </si>
  <si>
    <t>Apr</t>
  </si>
  <si>
    <t>May</t>
  </si>
  <si>
    <t>Jun</t>
  </si>
  <si>
    <t>Jul</t>
  </si>
  <si>
    <t>Aug</t>
  </si>
  <si>
    <t>Sep</t>
  </si>
  <si>
    <t>Oct</t>
  </si>
  <si>
    <t>Nov</t>
  </si>
  <si>
    <t>Dec</t>
  </si>
  <si>
    <t>Jan</t>
  </si>
  <si>
    <t>Feb</t>
  </si>
  <si>
    <t>Mar</t>
  </si>
  <si>
    <t>Totals</t>
  </si>
  <si>
    <t>Outstanding</t>
  </si>
  <si>
    <t xml:space="preserve">EHCP - BUDGET </t>
  </si>
  <si>
    <t>EHCP - in year changes and additions</t>
  </si>
  <si>
    <t>Looked After</t>
  </si>
  <si>
    <t>Out of Borough</t>
  </si>
  <si>
    <t>Post Looked after</t>
  </si>
  <si>
    <t>Allocation Summary</t>
  </si>
  <si>
    <t>Payment Summary</t>
  </si>
  <si>
    <t>Received</t>
  </si>
  <si>
    <t>Section 251 EHCP</t>
  </si>
  <si>
    <t>In Year EHCP</t>
  </si>
  <si>
    <t>Post Looked After</t>
  </si>
  <si>
    <t>Forecast Outturn</t>
  </si>
  <si>
    <t>Name of Supplier</t>
  </si>
  <si>
    <t>Contract start date</t>
  </si>
  <si>
    <t xml:space="preserve">Contract end date </t>
  </si>
  <si>
    <t>2023-24 Actual</t>
  </si>
  <si>
    <t>2024-25 Budget</t>
  </si>
  <si>
    <t>2025-26 Budget</t>
  </si>
  <si>
    <t>2026-27 Budget</t>
  </si>
  <si>
    <t>2027-28 Budget</t>
  </si>
  <si>
    <t>Guidance Notes on how to complete the PTR, Contact Ratio information</t>
  </si>
  <si>
    <t xml:space="preserve">PTR/Contact Ratio </t>
  </si>
  <si>
    <r>
      <t>Pupil Teacher Ratio (PTR)</t>
    </r>
    <r>
      <rPr>
        <sz val="10"/>
        <rFont val="Arial"/>
        <family val="2"/>
      </rPr>
      <t>:  The ratio is calculated by dividing the total number of pupils by the full-time equivalent number of teachers.</t>
    </r>
  </si>
  <si>
    <r>
      <t>Contact Ratio</t>
    </r>
    <r>
      <rPr>
        <sz val="11"/>
        <rFont val="Calibri"/>
        <family val="2"/>
        <scheme val="minor"/>
      </rPr>
      <t>:  The ratio is calculated by dividing the total number of taught periods by the total number of periods available.</t>
    </r>
  </si>
  <si>
    <t>Guidance for the individual rows (Note that only the GREEN cells are to be populated)</t>
  </si>
  <si>
    <t>a</t>
  </si>
  <si>
    <t>Total Number of pupils, including sixth form</t>
  </si>
  <si>
    <t>Automatic calculation taken from the data summary tab</t>
  </si>
  <si>
    <t>b</t>
  </si>
  <si>
    <t>FTE Teaching staff, including management</t>
  </si>
  <si>
    <r>
      <t xml:space="preserve">All teachers (qualified and unqualified) who could undertake a regular teaching commitment should be included.  Include all management (e.g. Headteacher, Deputy/Assistant Headteachers.  Do not include cover supervisors.  Make sure those on long-term sick or maternity leave, secondments, etc. are not double counted, and include the substantive post only.  If you do not include any qualified teaching staff, please put a note to explain. </t>
    </r>
    <r>
      <rPr>
        <b/>
        <sz val="11"/>
        <rFont val="Calibri"/>
        <family val="2"/>
        <scheme val="minor"/>
      </rPr>
      <t>The FTE should match the FTE in the KPI tab</t>
    </r>
  </si>
  <si>
    <t>c</t>
  </si>
  <si>
    <t>Agency/supply staff FTE covering a vacancy</t>
  </si>
  <si>
    <t>The number of vacant posts (FTE) being covered by supply teachers.  Vacant posts are those where a permanent or temporary teacher would be employed.</t>
  </si>
  <si>
    <t>d</t>
  </si>
  <si>
    <t>Total FTE Teaching Staff</t>
  </si>
  <si>
    <t>automatic calculation adding together [b] and [c].</t>
  </si>
  <si>
    <t>e</t>
  </si>
  <si>
    <t>Number of teaching periods in a week</t>
  </si>
  <si>
    <r>
      <t xml:space="preserve">This is the average teaching periods each week for a </t>
    </r>
    <r>
      <rPr>
        <b/>
        <sz val="11"/>
        <rFont val="Calibri"/>
        <family val="2"/>
        <scheme val="minor"/>
      </rPr>
      <t>student</t>
    </r>
    <r>
      <rPr>
        <sz val="11"/>
        <rFont val="Calibri"/>
        <family val="2"/>
        <scheme val="minor"/>
      </rPr>
      <t>.  For example, if the timetable is for 5 periods a day, the number of teaching periods would be 25.  If a fortnightly timetable is arranged, divide the fortnightly periods by 2 to get the average.
Or, you may have 10 periods a week (morning and afternoon), or work in hours.</t>
    </r>
  </si>
  <si>
    <t>f</t>
  </si>
  <si>
    <t>Maximum teaching periods available</t>
  </si>
  <si>
    <t>Automatic calculation that multiplies the number of FTE teachers [d] by the number of teaching periods in a week [e].</t>
  </si>
  <si>
    <t>g</t>
  </si>
  <si>
    <t>How many teaching periods are timetabled (taught) each week?</t>
  </si>
  <si>
    <r>
      <t xml:space="preserve">This is the number of periods that are taught in a week for a </t>
    </r>
    <r>
      <rPr>
        <b/>
        <sz val="11"/>
        <rFont val="Calibri"/>
        <family val="2"/>
        <scheme val="minor"/>
      </rPr>
      <t xml:space="preserve">teacher </t>
    </r>
    <r>
      <rPr>
        <sz val="10"/>
        <rFont val="Arial"/>
        <family val="2"/>
      </rPr>
      <t>(or average over 2 weeks).  The timetable will probably have this information in a report, but can be derived from listing every member of teaching staff (including management) and adding up what their weekly teaching commitment is, per year group.</t>
    </r>
  </si>
  <si>
    <t>h</t>
  </si>
  <si>
    <t>Teachers Budget</t>
  </si>
  <si>
    <t>This is the element of the main teaching budget for the year, including on-costs.</t>
  </si>
  <si>
    <t>i</t>
  </si>
  <si>
    <t>Supply Budget (element for vacancies)</t>
  </si>
  <si>
    <t xml:space="preserve">This is the element of the supply budget covering permanent vacancies. </t>
  </si>
  <si>
    <t>j</t>
  </si>
  <si>
    <t>Agency Supply E26 Budget (element for vacancies)</t>
  </si>
  <si>
    <t xml:space="preserve">This is the element of the agency supply budget covering permanent vacancies.  </t>
  </si>
  <si>
    <t>k</t>
  </si>
  <si>
    <t>Total Teaching Budget</t>
  </si>
  <si>
    <t>Automatic calculation adding together [h], [i] and [j].</t>
  </si>
  <si>
    <t>Pupil-Teacher-Ratio (PTR) / Contact Ratio</t>
  </si>
  <si>
    <t>Current Year (as at October)</t>
  </si>
  <si>
    <t>Base Year</t>
  </si>
  <si>
    <t>Do not double count maternity</t>
  </si>
  <si>
    <t>Average if 2 week timetable.</t>
  </si>
  <si>
    <t>How many teaching periods are timetabled each week?</t>
  </si>
  <si>
    <t>Teachers Budget (including on-costs)</t>
  </si>
  <si>
    <t>Agency Supply Budget (element for vacancies)</t>
  </si>
  <si>
    <t>Pupil-Teacher Ratio (PTR)</t>
  </si>
  <si>
    <t>Contact Ratio</t>
  </si>
  <si>
    <t>Average Annual FTE Teaching Salary Cost</t>
  </si>
  <si>
    <t>Average Annual Cost per Teaching Period</t>
  </si>
  <si>
    <t>Benchmarking Staffing</t>
  </si>
  <si>
    <t>INFORMATION TO BE DOWNLOADED HERE</t>
  </si>
  <si>
    <t>Benchmarking Premises</t>
  </si>
  <si>
    <t>Benchmarking Non Staff</t>
  </si>
  <si>
    <t>Please attached the Minutes of the Governing Body meeting where the Deficit Recovery Plan was agreed.</t>
  </si>
  <si>
    <t>How to insert a file here</t>
  </si>
  <si>
    <t>Select the cell in Excel on which you want to insert your file/object.</t>
  </si>
  <si>
    <t>Click on the “Insert” tab.</t>
  </si>
  <si>
    <t>Click “Object” in the Text group.</t>
  </si>
  <si>
    <t>Select “Create from File”.</t>
  </si>
  <si>
    <t>Click the “Browse” button and locate the file.</t>
  </si>
  <si>
    <t>Select "Display as icon"</t>
  </si>
  <si>
    <t>Click on the “Insert” button.</t>
  </si>
  <si>
    <t>Insert file here</t>
  </si>
  <si>
    <t>GLOSSARY</t>
  </si>
  <si>
    <t>0.6 HLTA (to end Aug)</t>
  </si>
  <si>
    <t>1 x Agency TA (to end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</si>
</sst>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43" formatCode="_-* #,##0.00_-;\-* #,##0.00_-;_-* &quot;-&quot;??_-;_-@_-"/>
    <numFmt numFmtId="164" formatCode="#,##0;\(#,##0\)"/>
    <numFmt numFmtId="165" formatCode="&quot;£&quot;#,##0"/>
    <numFmt numFmtId="166" formatCode="#,##0.00_ ;[Red]\-#,##0.00\ "/>
    <numFmt numFmtId="167" formatCode="#,##0_ ;[Red]\-#,##0\ "/>
    <numFmt numFmtId="168" formatCode="_-* #,##0.000000_-;\-* #,##0.000000_-;_-* &quot;-&quot;??_-;_-@_-"/>
    <numFmt numFmtId="169" formatCode="#,##0_ ;[Red]\(#,##0\)"/>
    <numFmt numFmtId="170" formatCode="&quot;£&quot;#,##0;[Red]\(&quot;£&quot;#,##0\)"/>
    <numFmt numFmtId="171" formatCode="0.0%"/>
    <numFmt numFmtId="172" formatCode="#,##0.0"/>
    <numFmt numFmtId="173" formatCode="0.0"/>
    <numFmt numFmtId="174" formatCode="#,##0.00%;\(#,##0.00%\)"/>
    <numFmt numFmtId="175" formatCode="&quot;£&quot;#,##0.00;\(&quot;£&quot;#,##0\)"/>
    <numFmt numFmtId="176" formatCode="_-[$£-809]* #,##0_-;\-[$£-809]* #,##0_-;_-[$£-809]* &quot;-&quot;??_-;_-@_-"/>
    <numFmt numFmtId="177" formatCode="_-[$£-809]* #,##0.00_-;\-[$£-809]* #,##0.00_-;_-[$£-809]* &quot;-&quot;??_-;_-@_-"/>
  </numFmts>
  <fonts count="4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indexed="9"/>
      <name val="Arial"/>
      <family val="2"/>
    </font>
    <font>
      <b/>
      <sz val="16"/>
      <name val="Arial"/>
      <family val="2"/>
    </font>
    <font>
      <b/>
      <sz val="11"/>
      <name val="Arial"/>
      <family val="2"/>
    </font>
    <font>
      <b/>
      <sz val="10"/>
      <name val="Arial"/>
      <family val="2"/>
    </font>
    <font>
      <sz val="8"/>
      <name val="Arial"/>
      <family val="2"/>
    </font>
    <font>
      <b/>
      <sz val="11"/>
      <color rgb="FF000000"/>
      <name val="Calibri"/>
      <family val="2"/>
    </font>
    <font>
      <b/>
      <sz val="10"/>
      <color theme="0"/>
      <name val="Arial"/>
      <family val="2"/>
    </font>
    <font>
      <sz val="10"/>
      <name val="Arial"/>
      <family val="2"/>
    </font>
    <font>
      <b/>
      <sz val="11"/>
      <color theme="1"/>
      <name val="Calibri"/>
      <family val="2"/>
      <scheme val="minor"/>
    </font>
    <font>
      <sz val="10"/>
      <color theme="1"/>
      <name val="Arial"/>
      <family val="2"/>
    </font>
    <font>
      <b/>
      <sz val="10"/>
      <color theme="1"/>
      <name val="Arial"/>
      <family val="2"/>
    </font>
    <font>
      <sz val="12"/>
      <color theme="1"/>
      <name val="Calibri"/>
      <family val="2"/>
      <scheme val="minor"/>
    </font>
    <font>
      <sz val="11"/>
      <name val="Calibri"/>
      <family val="2"/>
      <scheme val="minor"/>
    </font>
    <font>
      <b/>
      <sz val="16"/>
      <color indexed="9"/>
      <name val="Arial"/>
      <family val="2"/>
    </font>
    <font>
      <sz val="16"/>
      <name val="Arial"/>
      <family val="2"/>
    </font>
    <font>
      <u/>
      <sz val="10"/>
      <color indexed="12"/>
      <name val="Arial"/>
      <family val="2"/>
    </font>
    <font>
      <sz val="11"/>
      <color rgb="FFFF0000"/>
      <name val="Calibri"/>
      <family val="2"/>
      <scheme val="minor"/>
    </font>
    <font>
      <sz val="9"/>
      <color indexed="81"/>
      <name val="Tahoma"/>
      <family val="2"/>
    </font>
    <font>
      <b/>
      <sz val="9"/>
      <color indexed="81"/>
      <name val="Tahoma"/>
      <family val="2"/>
    </font>
    <font>
      <b/>
      <sz val="20"/>
      <color theme="0"/>
      <name val="Arial"/>
      <family val="2"/>
    </font>
    <font>
      <b/>
      <sz val="10"/>
      <color rgb="FFFF0000"/>
      <name val="Arial"/>
      <family val="2"/>
    </font>
    <font>
      <b/>
      <sz val="12"/>
      <color theme="1"/>
      <name val="Calibri"/>
      <family val="2"/>
      <scheme val="minor"/>
    </font>
    <font>
      <sz val="12"/>
      <name val="Arial"/>
      <family val="2"/>
    </font>
    <font>
      <b/>
      <sz val="11"/>
      <name val="Calibri"/>
      <family val="2"/>
      <scheme val="minor"/>
    </font>
    <font>
      <b/>
      <u/>
      <sz val="11"/>
      <name val="Calibri"/>
      <family val="2"/>
      <scheme val="minor"/>
    </font>
    <font>
      <sz val="11"/>
      <color rgb="FF006100"/>
      <name val="Calibri"/>
      <family val="2"/>
      <scheme val="minor"/>
    </font>
    <font>
      <b/>
      <u/>
      <sz val="11"/>
      <color theme="1"/>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sz val="11"/>
      <color theme="1"/>
      <name val="Calibri"/>
      <family val="2"/>
    </font>
    <font>
      <u/>
      <sz val="11"/>
      <color theme="1"/>
      <name val="Calibri"/>
      <family val="2"/>
      <scheme val="minor"/>
    </font>
    <font>
      <b/>
      <i/>
      <sz val="11"/>
      <color theme="1"/>
      <name val="Calibri"/>
      <family val="2"/>
      <scheme val="minor"/>
    </font>
    <font>
      <sz val="10"/>
      <color indexed="8"/>
      <name val="Arial"/>
      <family val="2"/>
    </font>
    <font>
      <sz val="12"/>
      <color rgb="FF006100"/>
      <name val="Tahoma"/>
      <family val="2"/>
    </font>
    <font>
      <sz val="11"/>
      <color rgb="FF000000"/>
      <name val="Calibri"/>
      <family val="2"/>
    </font>
    <font>
      <b/>
      <sz val="10"/>
      <color rgb="FF000000"/>
      <name val="Arial"/>
      <family val="2"/>
    </font>
    <font>
      <sz val="10"/>
      <color rgb="FF000000"/>
      <name val="Arial"/>
      <family val="2"/>
    </font>
    <font>
      <b/>
      <sz val="14"/>
      <color rgb="FF000000"/>
      <name val="Arial"/>
      <family val="2"/>
    </font>
    <font>
      <sz val="8"/>
      <color rgb="FF111111"/>
      <name val="Segoe UI"/>
      <family val="2"/>
    </font>
    <font>
      <b/>
      <sz val="8"/>
      <color rgb="FF111111"/>
      <name val="Segoe UI"/>
      <family val="2"/>
    </font>
  </fonts>
  <fills count="28">
    <fill>
      <patternFill patternType="none"/>
    </fill>
    <fill>
      <patternFill patternType="gray125"/>
    </fill>
    <fill>
      <patternFill patternType="solid">
        <fgColor indexed="23"/>
        <bgColor indexed="64"/>
      </patternFill>
    </fill>
    <fill>
      <patternFill patternType="solid">
        <fgColor theme="3" tint="0.79998168889431442"/>
        <bgColor indexed="64"/>
      </patternFill>
    </fill>
    <fill>
      <patternFill patternType="solid">
        <fgColor theme="4"/>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00070"/>
        <bgColor indexed="64"/>
      </patternFill>
    </fill>
    <fill>
      <patternFill patternType="solid">
        <fgColor rgb="FFFF0000"/>
        <bgColor indexed="64"/>
      </patternFill>
    </fill>
    <fill>
      <patternFill patternType="solid">
        <fgColor rgb="FFFFC000"/>
        <bgColor indexed="64"/>
      </patternFill>
    </fill>
    <fill>
      <patternFill patternType="solid">
        <fgColor indexed="2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CEC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6EFCE"/>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00B050"/>
        <bgColor rgb="FF000000"/>
      </patternFill>
    </fill>
    <fill>
      <patternFill patternType="solid">
        <fgColor rgb="FFFFC000"/>
        <bgColor rgb="FF000000"/>
      </patternFill>
    </fill>
    <fill>
      <patternFill patternType="solid">
        <fgColor rgb="FFFF0000"/>
        <bgColor rgb="FF000000"/>
      </patternFill>
    </fill>
    <fill>
      <patternFill patternType="solid">
        <fgColor theme="9" tint="0.79998168889431442"/>
        <bgColor indexed="64"/>
      </patternFill>
    </fill>
    <fill>
      <patternFill patternType="solid">
        <fgColor theme="9" tint="0.79998168889431442"/>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style="thin">
        <color indexed="9"/>
      </right>
      <top/>
      <bottom style="thin">
        <color indexed="9"/>
      </bottom>
      <diagonal/>
    </border>
    <border>
      <left style="thin">
        <color indexed="9"/>
      </left>
      <right/>
      <top/>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s>
  <cellStyleXfs count="17">
    <xf numFmtId="0" fontId="0" fillId="0" borderId="0">
      <alignment vertical="center"/>
    </xf>
    <xf numFmtId="0" fontId="4" fillId="2" borderId="1" applyNumberFormat="0" applyProtection="0">
      <alignment vertical="center"/>
    </xf>
    <xf numFmtId="0" fontId="3" fillId="0" borderId="0"/>
    <xf numFmtId="43" fontId="3" fillId="0" borderId="0" applyFont="0" applyFill="0" applyBorder="0" applyAlignment="0" applyProtection="0"/>
    <xf numFmtId="0" fontId="19" fillId="0" borderId="0" applyNumberFormat="0" applyFill="0" applyBorder="0" applyAlignment="0" applyProtection="0">
      <alignment vertical="top"/>
      <protection locked="0"/>
    </xf>
    <xf numFmtId="9" fontId="11" fillId="0" borderId="0" applyFont="0" applyFill="0" applyBorder="0" applyAlignment="0" applyProtection="0"/>
    <xf numFmtId="0" fontId="26" fillId="0" borderId="0"/>
    <xf numFmtId="0" fontId="26" fillId="0" borderId="0"/>
    <xf numFmtId="0" fontId="2" fillId="0" borderId="0"/>
    <xf numFmtId="0" fontId="34" fillId="0" borderId="0"/>
    <xf numFmtId="0" fontId="2" fillId="0" borderId="0"/>
    <xf numFmtId="0" fontId="37" fillId="0" borderId="0">
      <alignment vertical="top"/>
    </xf>
    <xf numFmtId="43" fontId="2" fillId="0" borderId="0" applyFont="0" applyFill="0" applyBorder="0" applyAlignment="0" applyProtection="0"/>
    <xf numFmtId="43" fontId="11" fillId="0" borderId="0"/>
    <xf numFmtId="0" fontId="38" fillId="18" borderId="0" applyNumberFormat="0" applyBorder="0" applyAlignment="0" applyProtection="0"/>
    <xf numFmtId="0" fontId="11" fillId="0" borderId="0"/>
    <xf numFmtId="0" fontId="11" fillId="0" borderId="0"/>
  </cellStyleXfs>
  <cellXfs count="480">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4" fillId="4" borderId="1" xfId="0" applyFont="1" applyFill="1" applyBorder="1">
      <alignment vertical="center"/>
    </xf>
    <xf numFmtId="164" fontId="4" fillId="4" borderId="1" xfId="0" applyNumberFormat="1" applyFont="1" applyFill="1" applyBorder="1">
      <alignment vertical="center"/>
    </xf>
    <xf numFmtId="164" fontId="4" fillId="4" borderId="1" xfId="0" applyNumberFormat="1" applyFont="1" applyFill="1" applyBorder="1" applyAlignment="1">
      <alignment vertical="center" wrapText="1"/>
    </xf>
    <xf numFmtId="164" fontId="4" fillId="4" borderId="1" xfId="0" applyNumberFormat="1" applyFont="1" applyFill="1" applyBorder="1" applyAlignment="1">
      <alignment horizontal="center" vertical="center"/>
    </xf>
    <xf numFmtId="0" fontId="4" fillId="4" borderId="1"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0" fontId="0" fillId="0" borderId="0" xfId="0" applyAlignment="1">
      <alignment horizontal="center" vertical="center"/>
    </xf>
    <xf numFmtId="0" fontId="4" fillId="4" borderId="4" xfId="0" applyFont="1" applyFill="1" applyBorder="1" applyAlignment="1">
      <alignment horizontal="center" vertical="center" wrapText="1"/>
    </xf>
    <xf numFmtId="0" fontId="4" fillId="4" borderId="4" xfId="0" applyFont="1" applyFill="1" applyBorder="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14" xfId="0" applyBorder="1">
      <alignment vertical="center"/>
    </xf>
    <xf numFmtId="0" fontId="7" fillId="0" borderId="0" xfId="0" applyFont="1">
      <alignment vertical="center"/>
    </xf>
    <xf numFmtId="0" fontId="4" fillId="4" borderId="1" xfId="0" applyFont="1" applyFill="1" applyBorder="1" applyAlignment="1">
      <alignment horizontal="left" vertical="center"/>
    </xf>
    <xf numFmtId="0" fontId="4" fillId="4" borderId="2" xfId="0" applyFont="1" applyFill="1" applyBorder="1">
      <alignment vertical="center"/>
    </xf>
    <xf numFmtId="0" fontId="0" fillId="6" borderId="0" xfId="0" applyFill="1">
      <alignment vertical="center"/>
    </xf>
    <xf numFmtId="0" fontId="0" fillId="0" borderId="0" xfId="0" applyAlignment="1"/>
    <xf numFmtId="0" fontId="14" fillId="0" borderId="0" xfId="0" applyFont="1" applyAlignment="1">
      <alignment vertical="center" wrapText="1"/>
    </xf>
    <xf numFmtId="0" fontId="14" fillId="0" borderId="17" xfId="0" applyFont="1" applyBorder="1" applyAlignment="1">
      <alignment horizontal="justify" vertical="center" wrapText="1"/>
    </xf>
    <xf numFmtId="0" fontId="14" fillId="0" borderId="0" xfId="0" applyFont="1" applyAlignment="1">
      <alignment horizontal="justify" vertical="center" wrapText="1"/>
    </xf>
    <xf numFmtId="0" fontId="13" fillId="0" borderId="0" xfId="0" applyFont="1" applyAlignment="1">
      <alignment vertical="center" wrapText="1"/>
    </xf>
    <xf numFmtId="17" fontId="14" fillId="0" borderId="17" xfId="0" applyNumberFormat="1" applyFont="1" applyBorder="1" applyAlignment="1">
      <alignment vertical="center" wrapText="1"/>
    </xf>
    <xf numFmtId="0" fontId="14" fillId="0" borderId="17" xfId="0" applyFont="1" applyBorder="1" applyAlignment="1">
      <alignment horizontal="center" vertical="center" wrapText="1"/>
    </xf>
    <xf numFmtId="0" fontId="14" fillId="7" borderId="17" xfId="0" applyFont="1" applyFill="1" applyBorder="1" applyAlignment="1">
      <alignment vertical="center" wrapText="1"/>
    </xf>
    <xf numFmtId="0" fontId="14" fillId="0" borderId="16" xfId="0" applyFont="1" applyBorder="1" applyAlignment="1">
      <alignment vertical="center" wrapText="1"/>
    </xf>
    <xf numFmtId="0" fontId="3" fillId="0" borderId="0" xfId="2"/>
    <xf numFmtId="0" fontId="12" fillId="7" borderId="1" xfId="2" applyFont="1" applyFill="1" applyBorder="1" applyAlignment="1">
      <alignment horizontal="left"/>
    </xf>
    <xf numFmtId="0" fontId="12" fillId="7" borderId="1" xfId="2" applyFont="1" applyFill="1" applyBorder="1" applyAlignment="1">
      <alignment horizontal="left" vertical="center"/>
    </xf>
    <xf numFmtId="0" fontId="12" fillId="7" borderId="1" xfId="2" applyFont="1" applyFill="1" applyBorder="1" applyAlignment="1">
      <alignment horizontal="left" vertical="center" wrapText="1"/>
    </xf>
    <xf numFmtId="0" fontId="3" fillId="0" borderId="1" xfId="2" applyBorder="1" applyAlignment="1">
      <alignment horizontal="left"/>
    </xf>
    <xf numFmtId="0" fontId="3" fillId="0" borderId="0" xfId="2" applyAlignment="1">
      <alignment horizontal="left"/>
    </xf>
    <xf numFmtId="0" fontId="16" fillId="0" borderId="1" xfId="2" quotePrefix="1" applyFont="1" applyBorder="1" applyAlignment="1">
      <alignment horizontal="left"/>
    </xf>
    <xf numFmtId="0" fontId="16" fillId="0" borderId="1" xfId="2" applyFont="1" applyBorder="1" applyAlignment="1">
      <alignment horizontal="left"/>
    </xf>
    <xf numFmtId="0" fontId="10" fillId="8" borderId="5" xfId="0" applyFont="1" applyFill="1" applyBorder="1" applyAlignment="1"/>
    <xf numFmtId="0" fontId="10" fillId="8" borderId="0" xfId="0" applyFont="1" applyFill="1" applyAlignment="1"/>
    <xf numFmtId="0" fontId="0" fillId="8" borderId="0" xfId="0" applyFill="1" applyAlignment="1"/>
    <xf numFmtId="0" fontId="0" fillId="8" borderId="6" xfId="0" applyFill="1" applyBorder="1" applyAlignment="1"/>
    <xf numFmtId="0" fontId="10" fillId="8" borderId="7" xfId="0" applyFont="1" applyFill="1" applyBorder="1" applyAlignment="1"/>
    <xf numFmtId="0" fontId="10" fillId="8" borderId="8" xfId="0" applyFont="1" applyFill="1" applyBorder="1" applyAlignment="1"/>
    <xf numFmtId="0" fontId="0" fillId="8" borderId="8" xfId="0" applyFill="1" applyBorder="1" applyAlignment="1"/>
    <xf numFmtId="0" fontId="0" fillId="8" borderId="9" xfId="0" applyFill="1" applyBorder="1" applyAlignment="1"/>
    <xf numFmtId="0" fontId="4" fillId="4" borderId="1" xfId="0" applyFont="1" applyFill="1" applyBorder="1" applyAlignment="1">
      <alignment horizontal="center" vertical="center" wrapText="1"/>
    </xf>
    <xf numFmtId="0" fontId="7" fillId="0" borderId="1" xfId="0" applyFont="1" applyBorder="1">
      <alignment vertical="center"/>
    </xf>
    <xf numFmtId="0" fontId="9" fillId="0" borderId="1" xfId="0" applyFont="1" applyBorder="1" applyAlignment="1"/>
    <xf numFmtId="0" fontId="3" fillId="0" borderId="1" xfId="2" applyBorder="1"/>
    <xf numFmtId="0" fontId="3" fillId="9" borderId="1" xfId="2" applyFill="1" applyBorder="1"/>
    <xf numFmtId="0" fontId="3" fillId="10" borderId="1" xfId="2" applyFill="1" applyBorder="1"/>
    <xf numFmtId="0" fontId="3" fillId="5" borderId="1" xfId="2" applyFill="1" applyBorder="1"/>
    <xf numFmtId="0" fontId="6" fillId="0" borderId="0" xfId="0" applyFont="1" applyAlignment="1">
      <alignment horizontal="center" vertical="center"/>
    </xf>
    <xf numFmtId="0" fontId="18" fillId="0" borderId="0" xfId="0" applyFont="1">
      <alignment vertical="center"/>
    </xf>
    <xf numFmtId="0" fontId="5" fillId="0" borderId="0" xfId="0" applyFont="1">
      <alignment vertical="center"/>
    </xf>
    <xf numFmtId="0" fontId="3" fillId="0" borderId="0" xfId="2" applyAlignment="1">
      <alignment horizontal="center"/>
    </xf>
    <xf numFmtId="0" fontId="4" fillId="11" borderId="21" xfId="2" applyFont="1" applyFill="1" applyBorder="1" applyAlignment="1">
      <alignment horizontal="left" vertical="center"/>
    </xf>
    <xf numFmtId="0" fontId="3" fillId="0" borderId="22" xfId="2" applyBorder="1" applyAlignment="1" applyProtection="1">
      <alignment horizontal="left" vertical="center"/>
      <protection locked="0"/>
    </xf>
    <xf numFmtId="49" fontId="3" fillId="0" borderId="0" xfId="2" applyNumberFormat="1" applyAlignment="1">
      <alignment horizontal="left"/>
    </xf>
    <xf numFmtId="166" fontId="3" fillId="12" borderId="0" xfId="2" applyNumberFormat="1" applyFill="1"/>
    <xf numFmtId="166" fontId="3" fillId="0" borderId="0" xfId="2" applyNumberFormat="1"/>
    <xf numFmtId="166" fontId="0" fillId="0" borderId="0" xfId="3" applyNumberFormat="1" applyFont="1" applyFill="1"/>
    <xf numFmtId="43" fontId="0" fillId="0" borderId="0" xfId="3" applyFont="1"/>
    <xf numFmtId="0" fontId="4" fillId="11" borderId="23" xfId="2" applyFont="1" applyFill="1" applyBorder="1" applyAlignment="1">
      <alignment horizontal="left" vertical="center"/>
    </xf>
    <xf numFmtId="0" fontId="3" fillId="0" borderId="24" xfId="2" applyBorder="1" applyAlignment="1" applyProtection="1">
      <alignment horizontal="left" vertical="center"/>
      <protection locked="0"/>
    </xf>
    <xf numFmtId="0" fontId="4" fillId="11" borderId="25" xfId="2" applyFont="1" applyFill="1" applyBorder="1" applyAlignment="1">
      <alignment horizontal="left" vertical="center"/>
    </xf>
    <xf numFmtId="0" fontId="3" fillId="0" borderId="26" xfId="2" applyBorder="1" applyAlignment="1" applyProtection="1">
      <alignment horizontal="left" vertical="center"/>
      <protection locked="0"/>
    </xf>
    <xf numFmtId="167" fontId="3" fillId="0" borderId="0" xfId="2" applyNumberFormat="1"/>
    <xf numFmtId="166" fontId="3" fillId="0" borderId="27" xfId="2" applyNumberFormat="1" applyBorder="1"/>
    <xf numFmtId="0" fontId="4" fillId="11" borderId="38" xfId="2" applyFont="1" applyFill="1" applyBorder="1" applyAlignment="1">
      <alignment horizontal="center" vertical="center" wrapText="1"/>
    </xf>
    <xf numFmtId="0" fontId="4" fillId="11" borderId="38" xfId="2" applyFont="1" applyFill="1" applyBorder="1" applyAlignment="1">
      <alignment horizontal="left" vertical="center" wrapText="1"/>
    </xf>
    <xf numFmtId="49" fontId="4" fillId="11" borderId="36" xfId="2" applyNumberFormat="1" applyFont="1" applyFill="1" applyBorder="1" applyAlignment="1">
      <alignment horizontal="left" vertical="center" wrapText="1"/>
    </xf>
    <xf numFmtId="0" fontId="4" fillId="11" borderId="39" xfId="2" applyFont="1" applyFill="1" applyBorder="1" applyAlignment="1">
      <alignment horizontal="center" vertical="center" wrapText="1"/>
    </xf>
    <xf numFmtId="166" fontId="4" fillId="12" borderId="39" xfId="2" applyNumberFormat="1" applyFont="1" applyFill="1" applyBorder="1" applyAlignment="1">
      <alignment horizontal="center" vertical="center" wrapText="1"/>
    </xf>
    <xf numFmtId="166" fontId="4" fillId="11" borderId="39" xfId="2" applyNumberFormat="1" applyFont="1" applyFill="1" applyBorder="1" applyAlignment="1">
      <alignment horizontal="center" vertical="center" wrapText="1"/>
    </xf>
    <xf numFmtId="166" fontId="4" fillId="11" borderId="38" xfId="2" applyNumberFormat="1" applyFont="1" applyFill="1" applyBorder="1" applyAlignment="1">
      <alignment horizontal="center" vertical="center" wrapText="1"/>
    </xf>
    <xf numFmtId="166" fontId="4" fillId="11" borderId="0" xfId="2" applyNumberFormat="1" applyFont="1" applyFill="1" applyAlignment="1">
      <alignment horizontal="center" vertical="center" wrapText="1"/>
    </xf>
    <xf numFmtId="166" fontId="4" fillId="11" borderId="0" xfId="3" applyNumberFormat="1" applyFont="1" applyFill="1" applyBorder="1" applyAlignment="1">
      <alignment horizontal="center" vertical="center" wrapText="1"/>
    </xf>
    <xf numFmtId="0" fontId="4" fillId="11" borderId="40" xfId="2" applyFont="1" applyFill="1" applyBorder="1" applyAlignment="1">
      <alignment horizontal="center" vertical="center" wrapText="1"/>
    </xf>
    <xf numFmtId="0" fontId="4" fillId="11" borderId="40" xfId="2" applyFont="1" applyFill="1" applyBorder="1" applyAlignment="1">
      <alignment horizontal="left" vertical="center" wrapText="1"/>
    </xf>
    <xf numFmtId="49" fontId="4" fillId="11" borderId="0" xfId="2" applyNumberFormat="1" applyFont="1" applyFill="1" applyAlignment="1">
      <alignment horizontal="left" vertical="center" wrapText="1"/>
    </xf>
    <xf numFmtId="166" fontId="14" fillId="12" borderId="40" xfId="2" applyNumberFormat="1" applyFont="1" applyFill="1" applyBorder="1" applyAlignment="1">
      <alignment horizontal="center" vertical="center" wrapText="1"/>
    </xf>
    <xf numFmtId="166" fontId="4" fillId="12" borderId="40" xfId="2" applyNumberFormat="1" applyFont="1" applyFill="1" applyBorder="1" applyAlignment="1">
      <alignment horizontal="center" vertical="center" wrapText="1"/>
    </xf>
    <xf numFmtId="0" fontId="3" fillId="13" borderId="0" xfId="2" applyFill="1"/>
    <xf numFmtId="0" fontId="3" fillId="13" borderId="41" xfId="2" applyFill="1" applyBorder="1" applyAlignment="1" applyProtection="1">
      <alignment horizontal="center"/>
      <protection locked="0"/>
    </xf>
    <xf numFmtId="0" fontId="11" fillId="13" borderId="41" xfId="2" applyFont="1" applyFill="1" applyBorder="1" applyAlignment="1" applyProtection="1">
      <alignment horizontal="left"/>
      <protection locked="0"/>
    </xf>
    <xf numFmtId="49" fontId="19" fillId="13" borderId="41" xfId="4" applyNumberFormat="1" applyFill="1" applyBorder="1" applyAlignment="1" applyProtection="1">
      <alignment horizontal="left"/>
      <protection locked="0"/>
    </xf>
    <xf numFmtId="0" fontId="11" fillId="13" borderId="41" xfId="2" applyFont="1" applyFill="1" applyBorder="1" applyProtection="1">
      <protection locked="0"/>
    </xf>
    <xf numFmtId="0" fontId="11" fillId="13" borderId="41" xfId="2" applyFont="1" applyFill="1" applyBorder="1" applyAlignment="1" applyProtection="1">
      <alignment horizontal="center"/>
      <protection locked="0"/>
    </xf>
    <xf numFmtId="166" fontId="11" fillId="13" borderId="41" xfId="2" applyNumberFormat="1" applyFont="1" applyFill="1" applyBorder="1" applyProtection="1">
      <protection locked="0"/>
    </xf>
    <xf numFmtId="168" fontId="11" fillId="13" borderId="41" xfId="3" applyNumberFormat="1" applyFont="1" applyFill="1" applyBorder="1" applyProtection="1">
      <protection locked="0"/>
    </xf>
    <xf numFmtId="166" fontId="3" fillId="13" borderId="0" xfId="2" applyNumberFormat="1" applyFill="1"/>
    <xf numFmtId="166" fontId="0" fillId="13" borderId="0" xfId="3" applyNumberFormat="1" applyFont="1" applyFill="1"/>
    <xf numFmtId="43" fontId="0" fillId="13" borderId="0" xfId="3" applyFont="1" applyFill="1"/>
    <xf numFmtId="0" fontId="3" fillId="13" borderId="41" xfId="2" applyFill="1" applyBorder="1" applyAlignment="1" applyProtection="1">
      <alignment horizontal="left"/>
      <protection locked="0"/>
    </xf>
    <xf numFmtId="0" fontId="3" fillId="13" borderId="41" xfId="2" applyFill="1" applyBorder="1" applyProtection="1">
      <protection locked="0"/>
    </xf>
    <xf numFmtId="168" fontId="0" fillId="13" borderId="41" xfId="3" applyNumberFormat="1" applyFont="1" applyFill="1" applyBorder="1" applyProtection="1">
      <protection locked="0"/>
    </xf>
    <xf numFmtId="49" fontId="3" fillId="13" borderId="41" xfId="2" applyNumberFormat="1" applyFill="1" applyBorder="1" applyAlignment="1" applyProtection="1">
      <alignment horizontal="left"/>
      <protection locked="0"/>
    </xf>
    <xf numFmtId="0" fontId="3" fillId="6" borderId="0" xfId="2" applyFill="1"/>
    <xf numFmtId="0" fontId="3" fillId="6" borderId="41" xfId="2" applyFill="1" applyBorder="1" applyAlignment="1" applyProtection="1">
      <alignment horizontal="center"/>
      <protection locked="0"/>
    </xf>
    <xf numFmtId="0" fontId="3" fillId="6" borderId="41" xfId="2" applyFill="1" applyBorder="1" applyAlignment="1" applyProtection="1">
      <alignment horizontal="left"/>
      <protection locked="0"/>
    </xf>
    <xf numFmtId="0" fontId="11" fillId="6" borderId="41" xfId="2" applyFont="1" applyFill="1" applyBorder="1" applyAlignment="1" applyProtection="1">
      <alignment horizontal="left"/>
      <protection locked="0"/>
    </xf>
    <xf numFmtId="49" fontId="3" fillId="6" borderId="41" xfId="2" applyNumberFormat="1" applyFill="1" applyBorder="1" applyAlignment="1" applyProtection="1">
      <alignment horizontal="left"/>
      <protection locked="0"/>
    </xf>
    <xf numFmtId="0" fontId="3" fillId="6" borderId="41" xfId="2" applyFill="1" applyBorder="1" applyProtection="1">
      <protection locked="0"/>
    </xf>
    <xf numFmtId="0" fontId="11" fillId="6" borderId="41" xfId="2" applyFont="1" applyFill="1" applyBorder="1" applyAlignment="1" applyProtection="1">
      <alignment horizontal="center"/>
      <protection locked="0"/>
    </xf>
    <xf numFmtId="166" fontId="11" fillId="6" borderId="41" xfId="2" applyNumberFormat="1" applyFont="1" applyFill="1" applyBorder="1" applyProtection="1">
      <protection locked="0"/>
    </xf>
    <xf numFmtId="168" fontId="0" fillId="6" borderId="41" xfId="3" applyNumberFormat="1" applyFont="1" applyFill="1" applyBorder="1" applyProtection="1">
      <protection locked="0"/>
    </xf>
    <xf numFmtId="166" fontId="3" fillId="6" borderId="0" xfId="2" applyNumberFormat="1" applyFill="1"/>
    <xf numFmtId="166" fontId="0" fillId="6" borderId="0" xfId="3" applyNumberFormat="1" applyFont="1" applyFill="1"/>
    <xf numFmtId="43" fontId="0" fillId="6" borderId="0" xfId="3" applyFont="1" applyFill="1"/>
    <xf numFmtId="166" fontId="3" fillId="13" borderId="41" xfId="2" applyNumberFormat="1" applyFill="1" applyBorder="1" applyProtection="1">
      <protection locked="0"/>
    </xf>
    <xf numFmtId="0" fontId="3" fillId="0" borderId="41" xfId="2" applyBorder="1" applyAlignment="1" applyProtection="1">
      <alignment horizontal="center"/>
      <protection locked="0"/>
    </xf>
    <xf numFmtId="0" fontId="3" fillId="0" borderId="41" xfId="2" applyBorder="1" applyAlignment="1" applyProtection="1">
      <alignment horizontal="left"/>
      <protection locked="0"/>
    </xf>
    <xf numFmtId="49" fontId="3" fillId="0" borderId="41" xfId="2" applyNumberFormat="1" applyBorder="1" applyAlignment="1" applyProtection="1">
      <alignment horizontal="left"/>
      <protection locked="0"/>
    </xf>
    <xf numFmtId="0" fontId="3" fillId="0" borderId="41" xfId="2" applyBorder="1" applyProtection="1">
      <protection locked="0"/>
    </xf>
    <xf numFmtId="0" fontId="11" fillId="0" borderId="41" xfId="2" applyFont="1" applyBorder="1" applyAlignment="1" applyProtection="1">
      <alignment horizontal="center"/>
      <protection locked="0"/>
    </xf>
    <xf numFmtId="166" fontId="3" fillId="12" borderId="41" xfId="2" applyNumberFormat="1" applyFill="1" applyBorder="1" applyProtection="1">
      <protection locked="0"/>
    </xf>
    <xf numFmtId="166" fontId="3" fillId="0" borderId="41" xfId="2" applyNumberFormat="1" applyBorder="1" applyProtection="1">
      <protection locked="0"/>
    </xf>
    <xf numFmtId="1" fontId="3" fillId="0" borderId="0" xfId="2" applyNumberFormat="1"/>
    <xf numFmtId="1" fontId="12" fillId="7" borderId="1" xfId="2" applyNumberFormat="1" applyFont="1" applyFill="1" applyBorder="1" applyAlignment="1">
      <alignment horizontal="left" vertical="center"/>
    </xf>
    <xf numFmtId="1" fontId="3" fillId="0" borderId="1" xfId="2" applyNumberFormat="1" applyBorder="1" applyAlignment="1">
      <alignment horizontal="left"/>
    </xf>
    <xf numFmtId="1" fontId="16" fillId="0" borderId="1" xfId="2" quotePrefix="1" applyNumberFormat="1" applyFont="1" applyBorder="1" applyAlignment="1">
      <alignment horizontal="left"/>
    </xf>
    <xf numFmtId="1" fontId="16" fillId="0" borderId="1" xfId="2" applyNumberFormat="1" applyFont="1" applyBorder="1" applyAlignment="1">
      <alignment horizontal="left"/>
    </xf>
    <xf numFmtId="0" fontId="4" fillId="4" borderId="1" xfId="0" applyFont="1" applyFill="1" applyBorder="1" applyAlignment="1">
      <alignment horizontal="center" vertical="center"/>
    </xf>
    <xf numFmtId="3" fontId="5" fillId="0" borderId="0" xfId="0" applyNumberFormat="1" applyFont="1">
      <alignment vertical="center"/>
    </xf>
    <xf numFmtId="0" fontId="4" fillId="4" borderId="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7" fillId="0" borderId="42" xfId="0" applyFont="1" applyBorder="1">
      <alignment vertical="center"/>
    </xf>
    <xf numFmtId="0" fontId="9" fillId="0" borderId="43" xfId="0" applyFont="1" applyBorder="1" applyAlignment="1"/>
    <xf numFmtId="0" fontId="6" fillId="0" borderId="0" xfId="0" applyFont="1">
      <alignment vertical="center"/>
    </xf>
    <xf numFmtId="0" fontId="6" fillId="0" borderId="0" xfId="0" applyFont="1" applyAlignment="1">
      <alignment horizontal="center" vertical="center" wrapText="1"/>
    </xf>
    <xf numFmtId="0" fontId="4" fillId="4" borderId="44" xfId="0" applyFont="1" applyFill="1" applyBorder="1" applyAlignment="1">
      <alignment horizontal="center" vertical="center" wrapText="1"/>
    </xf>
    <xf numFmtId="0" fontId="7" fillId="0" borderId="51" xfId="0" applyFont="1" applyBorder="1" applyAlignment="1">
      <alignment horizontal="center"/>
    </xf>
    <xf numFmtId="0" fontId="14" fillId="0" borderId="42" xfId="0" applyFont="1" applyBorder="1" applyAlignment="1">
      <alignment vertical="center" wrapText="1"/>
    </xf>
    <xf numFmtId="0" fontId="14" fillId="0" borderId="25" xfId="0" applyFont="1" applyBorder="1" applyAlignment="1">
      <alignment vertical="center" wrapText="1"/>
    </xf>
    <xf numFmtId="0" fontId="14" fillId="0" borderId="1" xfId="0" applyFont="1" applyBorder="1" applyAlignment="1">
      <alignment horizontal="center" vertical="center" wrapText="1"/>
    </xf>
    <xf numFmtId="0" fontId="14" fillId="0" borderId="43" xfId="0" applyFont="1" applyBorder="1" applyAlignment="1">
      <alignment horizontal="center" vertical="center" wrapText="1"/>
    </xf>
    <xf numFmtId="0" fontId="13" fillId="0" borderId="17" xfId="0" applyFont="1" applyBorder="1" applyAlignment="1">
      <alignment vertical="center" wrapText="1"/>
    </xf>
    <xf numFmtId="0" fontId="13" fillId="0" borderId="11" xfId="0" applyFont="1" applyBorder="1" applyAlignment="1">
      <alignment vertical="center" wrapText="1"/>
    </xf>
    <xf numFmtId="17" fontId="14" fillId="0" borderId="17" xfId="0" applyNumberFormat="1" applyFont="1" applyBorder="1" applyAlignment="1">
      <alignment horizontal="center" vertical="center" wrapText="1"/>
    </xf>
    <xf numFmtId="0" fontId="14" fillId="0" borderId="17" xfId="0" applyFont="1" applyBorder="1" applyAlignment="1">
      <alignment vertical="center" wrapText="1"/>
    </xf>
    <xf numFmtId="169" fontId="4" fillId="4" borderId="1" xfId="0" applyNumberFormat="1" applyFont="1" applyFill="1" applyBorder="1">
      <alignment vertical="center"/>
    </xf>
    <xf numFmtId="3" fontId="4" fillId="4" borderId="1" xfId="0" applyNumberFormat="1" applyFont="1" applyFill="1" applyBorder="1" applyAlignment="1">
      <alignment horizontal="center" vertical="center" wrapText="1"/>
    </xf>
    <xf numFmtId="0" fontId="4" fillId="4" borderId="53" xfId="0" applyFont="1" applyFill="1" applyBorder="1" applyAlignment="1">
      <alignment horizontal="left" vertical="center"/>
    </xf>
    <xf numFmtId="0" fontId="13" fillId="7" borderId="17" xfId="0" applyFont="1" applyFill="1" applyBorder="1" applyAlignment="1">
      <alignment horizontal="center" vertical="center" wrapText="1"/>
    </xf>
    <xf numFmtId="0" fontId="14" fillId="0" borderId="17" xfId="0" applyFont="1" applyBorder="1" applyAlignment="1">
      <alignment horizontal="left" vertical="top" wrapText="1"/>
    </xf>
    <xf numFmtId="0" fontId="4" fillId="4" borderId="54" xfId="0" applyFont="1" applyFill="1" applyBorder="1">
      <alignment vertical="center"/>
    </xf>
    <xf numFmtId="0" fontId="0" fillId="0" borderId="47" xfId="0" applyBorder="1" applyAlignment="1">
      <alignment vertical="center" wrapText="1"/>
    </xf>
    <xf numFmtId="0" fontId="7" fillId="0" borderId="0" xfId="0" applyFont="1" applyAlignment="1"/>
    <xf numFmtId="0" fontId="23" fillId="8" borderId="5" xfId="0" applyFont="1" applyFill="1" applyBorder="1" applyAlignment="1"/>
    <xf numFmtId="170" fontId="0" fillId="14" borderId="1" xfId="0" applyNumberFormat="1" applyFill="1" applyBorder="1" applyAlignment="1">
      <alignment horizontal="center" vertical="center"/>
    </xf>
    <xf numFmtId="170" fontId="0" fillId="14" borderId="43" xfId="0" applyNumberFormat="1" applyFill="1" applyBorder="1" applyAlignment="1">
      <alignment horizontal="center" vertical="center"/>
    </xf>
    <xf numFmtId="0" fontId="24" fillId="0" borderId="0" xfId="0" applyFont="1" applyAlignment="1"/>
    <xf numFmtId="0" fontId="14" fillId="0" borderId="0" xfId="0" applyFont="1" applyAlignment="1"/>
    <xf numFmtId="0" fontId="14" fillId="0" borderId="17" xfId="0" applyFont="1" applyBorder="1" applyAlignment="1"/>
    <xf numFmtId="0" fontId="13" fillId="0" borderId="0" xfId="0" applyFont="1">
      <alignment vertical="center"/>
    </xf>
    <xf numFmtId="0" fontId="13" fillId="14" borderId="17" xfId="0" applyFont="1" applyFill="1" applyBorder="1" applyAlignment="1">
      <alignment horizontal="center" vertical="center" wrapText="1"/>
    </xf>
    <xf numFmtId="170" fontId="0" fillId="15" borderId="1" xfId="0" applyNumberFormat="1" applyFill="1" applyBorder="1" applyAlignment="1">
      <alignment horizontal="center" vertical="center"/>
    </xf>
    <xf numFmtId="170" fontId="7" fillId="14" borderId="48" xfId="0" applyNumberFormat="1" applyFont="1" applyFill="1" applyBorder="1" applyAlignment="1">
      <alignment horizontal="center" vertical="center"/>
    </xf>
    <xf numFmtId="170" fontId="7" fillId="14" borderId="49" xfId="0" applyNumberFormat="1" applyFont="1" applyFill="1" applyBorder="1" applyAlignment="1">
      <alignment horizontal="center" vertical="center"/>
    </xf>
    <xf numFmtId="0" fontId="7" fillId="14" borderId="17" xfId="0" applyFont="1" applyFill="1" applyBorder="1" applyAlignment="1"/>
    <xf numFmtId="10" fontId="0" fillId="14" borderId="46" xfId="5" applyNumberFormat="1" applyFont="1" applyFill="1" applyBorder="1" applyAlignment="1">
      <alignment horizontal="center" vertical="center"/>
    </xf>
    <xf numFmtId="0" fontId="0" fillId="14" borderId="17" xfId="0" applyFill="1" applyBorder="1" applyAlignment="1">
      <alignment horizontal="center"/>
    </xf>
    <xf numFmtId="169" fontId="0" fillId="0" borderId="0" xfId="0" applyNumberFormat="1" applyAlignment="1">
      <alignment vertical="center" wrapText="1"/>
    </xf>
    <xf numFmtId="169" fontId="0" fillId="0" borderId="0" xfId="0" applyNumberFormat="1">
      <alignment vertical="center"/>
    </xf>
    <xf numFmtId="169" fontId="4" fillId="0" borderId="0" xfId="0" applyNumberFormat="1" applyFont="1" applyAlignment="1">
      <alignment horizontal="center" vertical="center"/>
    </xf>
    <xf numFmtId="169" fontId="4" fillId="4" borderId="1" xfId="0" applyNumberFormat="1" applyFont="1" applyFill="1" applyBorder="1" applyAlignment="1"/>
    <xf numFmtId="169" fontId="4" fillId="4" borderId="1" xfId="0" applyNumberFormat="1" applyFont="1" applyFill="1" applyBorder="1" applyAlignment="1">
      <alignment vertical="center" wrapText="1"/>
    </xf>
    <xf numFmtId="9" fontId="0" fillId="14" borderId="17" xfId="5" applyFont="1" applyFill="1" applyBorder="1" applyAlignment="1">
      <alignment horizontal="center"/>
    </xf>
    <xf numFmtId="170" fontId="0" fillId="14" borderId="17" xfId="0" applyNumberFormat="1" applyFill="1" applyBorder="1" applyAlignment="1">
      <alignment horizontal="center"/>
    </xf>
    <xf numFmtId="2" fontId="0" fillId="14" borderId="17" xfId="0" applyNumberFormat="1" applyFill="1" applyBorder="1" applyAlignment="1">
      <alignment horizontal="center"/>
    </xf>
    <xf numFmtId="0" fontId="0" fillId="15" borderId="17" xfId="0" applyFill="1" applyBorder="1" applyAlignment="1"/>
    <xf numFmtId="0" fontId="4" fillId="4" borderId="51" xfId="0" applyFont="1" applyFill="1" applyBorder="1" applyAlignment="1">
      <alignment horizontal="center" vertical="center" wrapText="1"/>
    </xf>
    <xf numFmtId="0" fontId="0" fillId="0" borderId="52" xfId="0" applyBorder="1">
      <alignment vertical="center"/>
    </xf>
    <xf numFmtId="0" fontId="4" fillId="4" borderId="60" xfId="0" applyFont="1" applyFill="1" applyBorder="1" applyAlignment="1">
      <alignment horizontal="center" vertical="center" wrapText="1"/>
    </xf>
    <xf numFmtId="169" fontId="0" fillId="14" borderId="1" xfId="0" applyNumberFormat="1" applyFill="1" applyBorder="1" applyAlignment="1">
      <alignment vertical="center" wrapText="1"/>
    </xf>
    <xf numFmtId="0" fontId="16" fillId="0" borderId="0" xfId="6" applyFont="1"/>
    <xf numFmtId="0" fontId="20" fillId="0" borderId="0" xfId="6" applyFont="1"/>
    <xf numFmtId="0" fontId="16" fillId="0" borderId="0" xfId="6" applyFont="1" applyProtection="1">
      <protection hidden="1"/>
    </xf>
    <xf numFmtId="0" fontId="18" fillId="4" borderId="0" xfId="0" applyFont="1" applyFill="1">
      <alignment vertical="center"/>
    </xf>
    <xf numFmtId="0" fontId="27" fillId="16" borderId="2" xfId="6" applyFont="1" applyFill="1" applyBorder="1"/>
    <xf numFmtId="0" fontId="16" fillId="16" borderId="53" xfId="6" applyFont="1" applyFill="1" applyBorder="1"/>
    <xf numFmtId="0" fontId="27" fillId="0" borderId="0" xfId="6" applyFont="1"/>
    <xf numFmtId="0" fontId="28" fillId="0" borderId="0" xfId="6" applyFont="1"/>
    <xf numFmtId="0" fontId="16" fillId="0" borderId="1" xfId="6" applyFont="1" applyBorder="1" applyAlignment="1">
      <alignment vertical="center"/>
    </xf>
    <xf numFmtId="0" fontId="16" fillId="0" borderId="1" xfId="6" applyFont="1" applyBorder="1" applyAlignment="1">
      <alignment vertical="center" wrapText="1"/>
    </xf>
    <xf numFmtId="0" fontId="16" fillId="0" borderId="18" xfId="6" applyFont="1" applyBorder="1"/>
    <xf numFmtId="0" fontId="16" fillId="0" borderId="10" xfId="6" applyFont="1" applyBorder="1"/>
    <xf numFmtId="0" fontId="16" fillId="0" borderId="19" xfId="6" applyFont="1" applyBorder="1"/>
    <xf numFmtId="0" fontId="27" fillId="0" borderId="57" xfId="6" applyFont="1" applyBorder="1"/>
    <xf numFmtId="0" fontId="16" fillId="0" borderId="20" xfId="6" applyFont="1" applyBorder="1"/>
    <xf numFmtId="0" fontId="27" fillId="0" borderId="20" xfId="6" applyFont="1" applyBorder="1" applyAlignment="1">
      <alignment horizontal="right"/>
    </xf>
    <xf numFmtId="0" fontId="16" fillId="0" borderId="58" xfId="6" applyFont="1" applyBorder="1"/>
    <xf numFmtId="0" fontId="27" fillId="0" borderId="5" xfId="6" applyFont="1" applyBorder="1"/>
    <xf numFmtId="0" fontId="27" fillId="0" borderId="0" xfId="6" applyFont="1" applyAlignment="1">
      <alignment horizontal="right"/>
    </xf>
    <xf numFmtId="0" fontId="16" fillId="0" borderId="6" xfId="6" applyFont="1" applyBorder="1"/>
    <xf numFmtId="0" fontId="16" fillId="0" borderId="5" xfId="6" applyFont="1" applyBorder="1"/>
    <xf numFmtId="3" fontId="16" fillId="0" borderId="17" xfId="6" applyNumberFormat="1" applyFont="1" applyBorder="1" applyAlignment="1">
      <alignment horizontal="center" vertical="center"/>
    </xf>
    <xf numFmtId="0" fontId="16" fillId="0" borderId="50" xfId="6" applyFont="1" applyBorder="1"/>
    <xf numFmtId="0" fontId="16" fillId="0" borderId="0" xfId="6" applyFont="1" applyAlignment="1">
      <alignment horizontal="center"/>
    </xf>
    <xf numFmtId="0" fontId="16" fillId="0" borderId="13" xfId="6" applyFont="1" applyBorder="1" applyProtection="1">
      <protection locked="0"/>
    </xf>
    <xf numFmtId="0" fontId="27" fillId="0" borderId="9" xfId="6" applyFont="1" applyBorder="1" applyAlignment="1">
      <alignment horizontal="right"/>
    </xf>
    <xf numFmtId="0" fontId="16" fillId="0" borderId="5" xfId="6" applyFont="1" applyBorder="1" applyProtection="1">
      <protection hidden="1"/>
    </xf>
    <xf numFmtId="0" fontId="16" fillId="0" borderId="0" xfId="6" applyFont="1" applyAlignment="1" applyProtection="1">
      <alignment horizontal="center"/>
      <protection hidden="1"/>
    </xf>
    <xf numFmtId="171" fontId="16" fillId="0" borderId="17" xfId="6" applyNumberFormat="1" applyFont="1" applyBorder="1" applyAlignment="1" applyProtection="1">
      <alignment horizontal="center"/>
      <protection hidden="1"/>
    </xf>
    <xf numFmtId="9" fontId="16" fillId="0" borderId="6" xfId="6" applyNumberFormat="1" applyFont="1" applyBorder="1"/>
    <xf numFmtId="0" fontId="27" fillId="0" borderId="65" xfId="6" applyFont="1" applyBorder="1" applyAlignment="1">
      <alignment vertical="center"/>
    </xf>
    <xf numFmtId="0" fontId="27" fillId="0" borderId="61" xfId="6" applyFont="1" applyBorder="1" applyAlignment="1">
      <alignment vertical="center"/>
    </xf>
    <xf numFmtId="0" fontId="27" fillId="0" borderId="59" xfId="6" applyFont="1" applyBorder="1" applyAlignment="1">
      <alignment vertical="center"/>
    </xf>
    <xf numFmtId="3" fontId="16" fillId="14" borderId="17" xfId="6" applyNumberFormat="1" applyFont="1" applyFill="1" applyBorder="1" applyProtection="1">
      <protection hidden="1"/>
    </xf>
    <xf numFmtId="3" fontId="16" fillId="14" borderId="17" xfId="6" applyNumberFormat="1" applyFont="1" applyFill="1" applyBorder="1"/>
    <xf numFmtId="172" fontId="16" fillId="14" borderId="17" xfId="6" applyNumberFormat="1" applyFont="1" applyFill="1" applyBorder="1" applyProtection="1">
      <protection hidden="1"/>
    </xf>
    <xf numFmtId="4" fontId="16" fillId="14" borderId="17" xfId="6" applyNumberFormat="1" applyFont="1" applyFill="1" applyBorder="1" applyProtection="1">
      <protection locked="0"/>
    </xf>
    <xf numFmtId="4" fontId="16" fillId="14" borderId="62" xfId="6" applyNumberFormat="1" applyFont="1" applyFill="1" applyBorder="1"/>
    <xf numFmtId="4" fontId="16" fillId="14" borderId="17" xfId="6" applyNumberFormat="1" applyFont="1" applyFill="1" applyBorder="1" applyProtection="1">
      <protection hidden="1"/>
    </xf>
    <xf numFmtId="2" fontId="16" fillId="14" borderId="17" xfId="6" applyNumberFormat="1" applyFont="1" applyFill="1" applyBorder="1"/>
    <xf numFmtId="170" fontId="0" fillId="14" borderId="17" xfId="7" applyNumberFormat="1" applyFont="1" applyFill="1" applyBorder="1" applyAlignment="1" applyProtection="1">
      <alignment horizontal="right"/>
      <protection hidden="1"/>
    </xf>
    <xf numFmtId="165" fontId="16" fillId="14" borderId="17" xfId="6" applyNumberFormat="1" applyFont="1" applyFill="1" applyBorder="1" applyProtection="1">
      <protection hidden="1"/>
    </xf>
    <xf numFmtId="173" fontId="16" fillId="14" borderId="17" xfId="6" applyNumberFormat="1" applyFont="1" applyFill="1" applyBorder="1" applyAlignment="1" applyProtection="1">
      <alignment horizontal="center"/>
      <protection hidden="1"/>
    </xf>
    <xf numFmtId="171" fontId="16" fillId="14" borderId="17" xfId="6" applyNumberFormat="1" applyFont="1" applyFill="1" applyBorder="1" applyAlignment="1" applyProtection="1">
      <alignment horizontal="center"/>
      <protection hidden="1"/>
    </xf>
    <xf numFmtId="165" fontId="16" fillId="14" borderId="17" xfId="6" applyNumberFormat="1" applyFont="1" applyFill="1" applyBorder="1" applyAlignment="1" applyProtection="1">
      <alignment horizontal="center"/>
      <protection hidden="1"/>
    </xf>
    <xf numFmtId="0" fontId="16" fillId="14" borderId="0" xfId="6" applyFont="1" applyFill="1" applyAlignment="1" applyProtection="1">
      <alignment horizontal="center"/>
      <protection hidden="1"/>
    </xf>
    <xf numFmtId="172" fontId="16" fillId="3" borderId="17" xfId="6" applyNumberFormat="1" applyFont="1" applyFill="1" applyBorder="1" applyProtection="1">
      <protection hidden="1"/>
    </xf>
    <xf numFmtId="0" fontId="16" fillId="3" borderId="17" xfId="6" applyFont="1" applyFill="1" applyBorder="1" applyProtection="1">
      <protection locked="0"/>
    </xf>
    <xf numFmtId="0" fontId="16" fillId="3" borderId="63" xfId="6" applyFont="1" applyFill="1" applyBorder="1" applyAlignment="1" applyProtection="1">
      <alignment horizontal="right"/>
      <protection locked="0"/>
    </xf>
    <xf numFmtId="0" fontId="16" fillId="3" borderId="13" xfId="6" applyFont="1" applyFill="1" applyBorder="1" applyProtection="1">
      <protection locked="0"/>
    </xf>
    <xf numFmtId="3" fontId="16" fillId="3" borderId="17" xfId="6" applyNumberFormat="1" applyFont="1" applyFill="1" applyBorder="1" applyProtection="1">
      <protection hidden="1"/>
    </xf>
    <xf numFmtId="3" fontId="16" fillId="3" borderId="17" xfId="6" applyNumberFormat="1" applyFont="1" applyFill="1" applyBorder="1" applyProtection="1">
      <protection locked="0"/>
    </xf>
    <xf numFmtId="3" fontId="16" fillId="3" borderId="17" xfId="6" applyNumberFormat="1" applyFont="1" applyFill="1" applyBorder="1"/>
    <xf numFmtId="170" fontId="0" fillId="14" borderId="64" xfId="7" applyNumberFormat="1" applyFont="1" applyFill="1" applyBorder="1" applyAlignment="1" applyProtection="1">
      <alignment horizontal="right"/>
      <protection hidden="1"/>
    </xf>
    <xf numFmtId="169" fontId="0" fillId="14" borderId="1" xfId="0" applyNumberFormat="1" applyFill="1" applyBorder="1" applyAlignment="1">
      <alignment wrapText="1"/>
    </xf>
    <xf numFmtId="169" fontId="0" fillId="15" borderId="1" xfId="0" applyNumberFormat="1" applyFill="1" applyBorder="1" applyAlignment="1">
      <alignment vertical="center" wrapText="1"/>
    </xf>
    <xf numFmtId="169" fontId="0" fillId="15" borderId="1" xfId="0" applyNumberFormat="1" applyFill="1" applyBorder="1">
      <alignment vertical="center"/>
    </xf>
    <xf numFmtId="0" fontId="0" fillId="15" borderId="1" xfId="0" applyFill="1" applyBorder="1">
      <alignment vertical="center"/>
    </xf>
    <xf numFmtId="0" fontId="0" fillId="15" borderId="1" xfId="0" applyFill="1" applyBorder="1" applyAlignment="1">
      <alignment vertical="center" wrapText="1"/>
    </xf>
    <xf numFmtId="0" fontId="0" fillId="15" borderId="1" xfId="0" applyFill="1" applyBorder="1" applyAlignment="1">
      <alignment horizontal="center" vertical="center"/>
    </xf>
    <xf numFmtId="164" fontId="0" fillId="15" borderId="1" xfId="0" applyNumberFormat="1" applyFill="1" applyBorder="1">
      <alignment vertical="center"/>
    </xf>
    <xf numFmtId="164" fontId="0" fillId="15" borderId="1" xfId="0" applyNumberFormat="1" applyFill="1" applyBorder="1" applyAlignment="1">
      <alignment vertical="center" wrapText="1"/>
    </xf>
    <xf numFmtId="0" fontId="14" fillId="7" borderId="17" xfId="0" applyFont="1" applyFill="1" applyBorder="1" applyAlignment="1">
      <alignment horizontal="center" vertical="center" wrapText="1"/>
    </xf>
    <xf numFmtId="0" fontId="14" fillId="12" borderId="18" xfId="0" applyFont="1" applyFill="1" applyBorder="1" applyAlignment="1"/>
    <xf numFmtId="0" fontId="0" fillId="12" borderId="10" xfId="0" applyFill="1" applyBorder="1" applyAlignment="1"/>
    <xf numFmtId="0" fontId="0" fillId="12" borderId="19" xfId="0" applyFill="1" applyBorder="1" applyAlignment="1"/>
    <xf numFmtId="0" fontId="14" fillId="12" borderId="5" xfId="0" applyFont="1" applyFill="1" applyBorder="1" applyAlignment="1"/>
    <xf numFmtId="0" fontId="0" fillId="12" borderId="0" xfId="0" applyFill="1" applyAlignment="1"/>
    <xf numFmtId="0" fontId="0" fillId="12" borderId="6" xfId="0" applyFill="1" applyBorder="1" applyAlignment="1"/>
    <xf numFmtId="0" fontId="13" fillId="12" borderId="5" xfId="0" applyFont="1" applyFill="1" applyBorder="1">
      <alignment vertical="center"/>
    </xf>
    <xf numFmtId="0" fontId="14" fillId="12" borderId="5" xfId="0" applyFont="1" applyFill="1" applyBorder="1">
      <alignment vertical="center"/>
    </xf>
    <xf numFmtId="0" fontId="13" fillId="12" borderId="0" xfId="0" applyFont="1" applyFill="1" applyAlignment="1">
      <alignment horizontal="left" vertical="center"/>
    </xf>
    <xf numFmtId="0" fontId="25" fillId="12" borderId="5" xfId="0" applyFont="1" applyFill="1" applyBorder="1">
      <alignment vertical="center"/>
    </xf>
    <xf numFmtId="0" fontId="15" fillId="12" borderId="5" xfId="0" applyFont="1" applyFill="1" applyBorder="1">
      <alignment vertical="center"/>
    </xf>
    <xf numFmtId="0" fontId="0" fillId="12" borderId="5" xfId="0" applyFill="1" applyBorder="1" applyAlignment="1"/>
    <xf numFmtId="0" fontId="13" fillId="12" borderId="7" xfId="0" applyFont="1" applyFill="1" applyBorder="1">
      <alignment vertical="center"/>
    </xf>
    <xf numFmtId="0" fontId="0" fillId="12" borderId="8" xfId="0" applyFill="1" applyBorder="1" applyAlignment="1"/>
    <xf numFmtId="0" fontId="13" fillId="12" borderId="8" xfId="0" applyFont="1" applyFill="1" applyBorder="1" applyAlignment="1">
      <alignment horizontal="left" vertical="center"/>
    </xf>
    <xf numFmtId="0" fontId="0" fillId="12" borderId="9" xfId="0" applyFill="1" applyBorder="1" applyAlignment="1"/>
    <xf numFmtId="0" fontId="0" fillId="15" borderId="57" xfId="0" applyFill="1" applyBorder="1">
      <alignment vertical="center"/>
    </xf>
    <xf numFmtId="0" fontId="0" fillId="15" borderId="20" xfId="0" applyFill="1" applyBorder="1">
      <alignment vertical="center"/>
    </xf>
    <xf numFmtId="0" fontId="0" fillId="15" borderId="6" xfId="0" applyFill="1" applyBorder="1">
      <alignment vertical="center"/>
    </xf>
    <xf numFmtId="0" fontId="0" fillId="15" borderId="5" xfId="0" applyFill="1" applyBorder="1">
      <alignment vertical="center"/>
    </xf>
    <xf numFmtId="0" fontId="0" fillId="15" borderId="0" xfId="0" applyFill="1">
      <alignment vertical="center"/>
    </xf>
    <xf numFmtId="0" fontId="0" fillId="15" borderId="7" xfId="0" applyFill="1" applyBorder="1">
      <alignment vertical="center"/>
    </xf>
    <xf numFmtId="0" fontId="0" fillId="15" borderId="8" xfId="0" applyFill="1" applyBorder="1">
      <alignment vertical="center"/>
    </xf>
    <xf numFmtId="0" fontId="0" fillId="15" borderId="9" xfId="0" applyFill="1" applyBorder="1">
      <alignment vertical="center"/>
    </xf>
    <xf numFmtId="17" fontId="28" fillId="0" borderId="5" xfId="6" quotePrefix="1" applyNumberFormat="1" applyFont="1" applyBorder="1" applyAlignment="1">
      <alignment horizontal="center"/>
    </xf>
    <xf numFmtId="0" fontId="16" fillId="0" borderId="5" xfId="6" applyFont="1" applyBorder="1" applyAlignment="1">
      <alignment horizontal="center"/>
    </xf>
    <xf numFmtId="0" fontId="14" fillId="15" borderId="1" xfId="0" applyFont="1" applyFill="1" applyBorder="1" applyAlignment="1"/>
    <xf numFmtId="0" fontId="0" fillId="15" borderId="53" xfId="0" applyFill="1" applyBorder="1">
      <alignment vertical="center"/>
    </xf>
    <xf numFmtId="0" fontId="2" fillId="19" borderId="0" xfId="8" applyFill="1"/>
    <xf numFmtId="0" fontId="30" fillId="19" borderId="54" xfId="8" applyFont="1" applyFill="1" applyBorder="1"/>
    <xf numFmtId="0" fontId="2" fillId="19" borderId="20" xfId="8" applyFill="1" applyBorder="1"/>
    <xf numFmtId="0" fontId="2" fillId="19" borderId="69" xfId="8" applyFill="1" applyBorder="1"/>
    <xf numFmtId="0" fontId="12" fillId="19" borderId="54" xfId="8" applyFont="1" applyFill="1" applyBorder="1"/>
    <xf numFmtId="0" fontId="12" fillId="19" borderId="15" xfId="8" applyFont="1" applyFill="1" applyBorder="1"/>
    <xf numFmtId="0" fontId="27" fillId="0" borderId="0" xfId="8" applyFont="1" applyAlignment="1">
      <alignment horizontal="center" vertical="center"/>
    </xf>
    <xf numFmtId="0" fontId="31" fillId="0" borderId="0" xfId="8" applyFont="1" applyAlignment="1">
      <alignment vertical="top"/>
    </xf>
    <xf numFmtId="165" fontId="16" fillId="0" borderId="0" xfId="8" applyNumberFormat="1" applyFont="1" applyAlignment="1">
      <alignment horizontal="right" vertical="center"/>
    </xf>
    <xf numFmtId="165" fontId="16" fillId="0" borderId="0" xfId="8" applyNumberFormat="1" applyFont="1" applyAlignment="1">
      <alignment vertical="center"/>
    </xf>
    <xf numFmtId="0" fontId="27" fillId="0" borderId="0" xfId="8" applyFont="1" applyAlignment="1">
      <alignment horizontal="left" vertical="center" wrapText="1"/>
    </xf>
    <xf numFmtId="174" fontId="16" fillId="0" borderId="0" xfId="8" applyNumberFormat="1" applyFont="1" applyAlignment="1">
      <alignment vertical="center"/>
    </xf>
    <xf numFmtId="0" fontId="16" fillId="0" borderId="0" xfId="8" applyFont="1" applyAlignment="1">
      <alignment vertical="center"/>
    </xf>
    <xf numFmtId="175" fontId="16" fillId="0" borderId="0" xfId="8" applyNumberFormat="1" applyFont="1" applyAlignment="1">
      <alignment horizontal="center" vertical="center"/>
    </xf>
    <xf numFmtId="0" fontId="16" fillId="0" borderId="0" xfId="8" applyFont="1" applyAlignment="1">
      <alignment horizontal="left" vertical="top"/>
    </xf>
    <xf numFmtId="0" fontId="32" fillId="0" borderId="0" xfId="8" applyFont="1" applyAlignment="1">
      <alignment vertical="top"/>
    </xf>
    <xf numFmtId="0" fontId="33" fillId="0" borderId="0" xfId="8" applyFont="1" applyAlignment="1">
      <alignment vertical="top"/>
    </xf>
    <xf numFmtId="0" fontId="2" fillId="0" borderId="0" xfId="8"/>
    <xf numFmtId="6" fontId="31" fillId="0" borderId="0" xfId="8" applyNumberFormat="1" applyFont="1" applyAlignment="1">
      <alignment vertical="top"/>
    </xf>
    <xf numFmtId="6" fontId="32" fillId="0" borderId="0" xfId="8" applyNumberFormat="1" applyFont="1" applyAlignment="1">
      <alignment vertical="top"/>
    </xf>
    <xf numFmtId="165" fontId="2" fillId="0" borderId="0" xfId="8" applyNumberFormat="1"/>
    <xf numFmtId="0" fontId="33" fillId="0" borderId="0" xfId="8" applyFont="1"/>
    <xf numFmtId="165" fontId="31" fillId="0" borderId="0" xfId="8" applyNumberFormat="1" applyFont="1" applyAlignment="1">
      <alignment vertical="top"/>
    </xf>
    <xf numFmtId="0" fontId="35" fillId="0" borderId="0" xfId="9" applyFont="1"/>
    <xf numFmtId="0" fontId="16" fillId="0" borderId="0" xfId="10" applyFont="1"/>
    <xf numFmtId="0" fontId="12" fillId="0" borderId="0" xfId="9" applyFont="1"/>
    <xf numFmtId="0" fontId="0" fillId="0" borderId="0" xfId="9" applyFont="1"/>
    <xf numFmtId="0" fontId="12" fillId="0" borderId="0" xfId="9" applyFont="1" applyAlignment="1">
      <alignment horizontal="center"/>
    </xf>
    <xf numFmtId="0" fontId="2" fillId="0" borderId="0" xfId="8" applyAlignment="1">
      <alignment vertical="center"/>
    </xf>
    <xf numFmtId="0" fontId="35" fillId="0" borderId="15" xfId="9" applyFont="1" applyBorder="1" applyAlignment="1">
      <alignment horizontal="left"/>
    </xf>
    <xf numFmtId="0" fontId="35" fillId="0" borderId="0" xfId="9" applyFont="1" applyAlignment="1">
      <alignment horizontal="left"/>
    </xf>
    <xf numFmtId="0" fontId="35" fillId="0" borderId="50" xfId="9" applyFont="1" applyBorder="1" applyAlignment="1">
      <alignment horizontal="left"/>
    </xf>
    <xf numFmtId="0" fontId="12" fillId="0" borderId="50" xfId="9" applyFont="1" applyBorder="1" applyAlignment="1">
      <alignment horizontal="center"/>
    </xf>
    <xf numFmtId="167" fontId="12" fillId="0" borderId="15" xfId="9" applyNumberFormat="1" applyFont="1" applyBorder="1" applyAlignment="1">
      <alignment horizontal="center"/>
    </xf>
    <xf numFmtId="167" fontId="12" fillId="0" borderId="0" xfId="9" applyNumberFormat="1" applyFont="1" applyAlignment="1">
      <alignment horizontal="center"/>
    </xf>
    <xf numFmtId="167" fontId="0" fillId="0" borderId="50" xfId="9" applyNumberFormat="1" applyFont="1" applyBorder="1"/>
    <xf numFmtId="165" fontId="16" fillId="0" borderId="0" xfId="11" applyNumberFormat="1" applyFont="1" applyAlignment="1"/>
    <xf numFmtId="165" fontId="0" fillId="0" borderId="0" xfId="13" applyNumberFormat="1" applyFont="1"/>
    <xf numFmtId="165" fontId="0" fillId="0" borderId="50" xfId="9" applyNumberFormat="1" applyFont="1" applyBorder="1"/>
    <xf numFmtId="0" fontId="16" fillId="0" borderId="15" xfId="11" applyFont="1" applyBorder="1" applyAlignment="1">
      <alignment horizontal="center"/>
    </xf>
    <xf numFmtId="0" fontId="16" fillId="0" borderId="0" xfId="11" applyFont="1" applyAlignment="1">
      <alignment horizontal="center"/>
    </xf>
    <xf numFmtId="177" fontId="16" fillId="0" borderId="50" xfId="11" applyNumberFormat="1" applyFont="1" applyBorder="1" applyAlignment="1">
      <alignment horizontal="left"/>
    </xf>
    <xf numFmtId="43" fontId="16" fillId="0" borderId="15" xfId="11" applyNumberFormat="1" applyFont="1" applyBorder="1" applyAlignment="1">
      <alignment horizontal="center"/>
    </xf>
    <xf numFmtId="43" fontId="16" fillId="0" borderId="0" xfId="11" applyNumberFormat="1" applyFont="1" applyAlignment="1">
      <alignment horizontal="center"/>
    </xf>
    <xf numFmtId="3" fontId="16" fillId="0" borderId="50" xfId="11" applyNumberFormat="1" applyFont="1" applyBorder="1" applyAlignment="1">
      <alignment horizontal="left"/>
    </xf>
    <xf numFmtId="165" fontId="16" fillId="0" borderId="0" xfId="12" applyNumberFormat="1" applyFont="1" applyFill="1" applyAlignment="1"/>
    <xf numFmtId="14" fontId="16" fillId="0" borderId="0" xfId="10" applyNumberFormat="1" applyFont="1" applyAlignment="1">
      <alignment horizontal="center" vertical="center"/>
    </xf>
    <xf numFmtId="0" fontId="0" fillId="0" borderId="50" xfId="9" applyFont="1" applyBorder="1"/>
    <xf numFmtId="165" fontId="0" fillId="0" borderId="15" xfId="13" applyNumberFormat="1" applyFont="1" applyBorder="1"/>
    <xf numFmtId="0" fontId="35" fillId="0" borderId="15" xfId="9" applyFont="1" applyBorder="1" applyAlignment="1">
      <alignment horizontal="center"/>
    </xf>
    <xf numFmtId="0" fontId="35" fillId="0" borderId="0" xfId="9" applyFont="1" applyAlignment="1">
      <alignment horizontal="center"/>
    </xf>
    <xf numFmtId="177" fontId="35" fillId="0" borderId="50" xfId="9" applyNumberFormat="1" applyFont="1" applyBorder="1" applyAlignment="1">
      <alignment horizontal="left"/>
    </xf>
    <xf numFmtId="3" fontId="35" fillId="0" borderId="50" xfId="9" applyNumberFormat="1" applyFont="1" applyBorder="1" applyAlignment="1">
      <alignment horizontal="left"/>
    </xf>
    <xf numFmtId="165" fontId="35" fillId="0" borderId="0" xfId="9" applyNumberFormat="1" applyFont="1"/>
    <xf numFmtId="0" fontId="16" fillId="0" borderId="15" xfId="9" applyFont="1" applyBorder="1" applyAlignment="1">
      <alignment horizontal="center"/>
    </xf>
    <xf numFmtId="0" fontId="16" fillId="0" borderId="0" xfId="9" applyFont="1" applyAlignment="1">
      <alignment horizontal="center"/>
    </xf>
    <xf numFmtId="177" fontId="16" fillId="0" borderId="50" xfId="9" applyNumberFormat="1" applyFont="1" applyBorder="1" applyAlignment="1">
      <alignment horizontal="left"/>
    </xf>
    <xf numFmtId="3" fontId="16" fillId="0" borderId="50" xfId="9" applyNumberFormat="1" applyFont="1" applyBorder="1" applyAlignment="1">
      <alignment horizontal="left"/>
    </xf>
    <xf numFmtId="165" fontId="16" fillId="0" borderId="0" xfId="9" applyNumberFormat="1" applyFont="1"/>
    <xf numFmtId="14" fontId="12" fillId="0" borderId="0" xfId="9" applyNumberFormat="1" applyFont="1"/>
    <xf numFmtId="0" fontId="0" fillId="0" borderId="0" xfId="10" applyFont="1"/>
    <xf numFmtId="165" fontId="12" fillId="0" borderId="0" xfId="9" applyNumberFormat="1" applyFont="1"/>
    <xf numFmtId="0" fontId="12" fillId="0" borderId="0" xfId="9" applyFont="1" applyAlignment="1">
      <alignment horizontal="right"/>
    </xf>
    <xf numFmtId="165" fontId="0" fillId="0" borderId="0" xfId="9" applyNumberFormat="1" applyFont="1"/>
    <xf numFmtId="167" fontId="0" fillId="0" borderId="0" xfId="9" applyNumberFormat="1" applyFont="1"/>
    <xf numFmtId="167" fontId="12" fillId="0" borderId="0" xfId="9" applyNumberFormat="1" applyFont="1"/>
    <xf numFmtId="167" fontId="16" fillId="0" borderId="0" xfId="10" applyNumberFormat="1" applyFont="1"/>
    <xf numFmtId="165" fontId="12" fillId="0" borderId="27" xfId="13" applyNumberFormat="1" applyFont="1" applyBorder="1"/>
    <xf numFmtId="0" fontId="27" fillId="0" borderId="0" xfId="10" applyFont="1"/>
    <xf numFmtId="0" fontId="4" fillId="22" borderId="1" xfId="0" applyFont="1" applyFill="1" applyBorder="1" applyAlignment="1">
      <alignment horizontal="center" vertical="center" wrapText="1"/>
    </xf>
    <xf numFmtId="0" fontId="4" fillId="22" borderId="1" xfId="0" applyFont="1" applyFill="1" applyBorder="1" applyAlignment="1">
      <alignment horizontal="center" vertical="center"/>
    </xf>
    <xf numFmtId="0" fontId="39" fillId="0" borderId="0" xfId="0" applyFont="1">
      <alignment vertical="center"/>
    </xf>
    <xf numFmtId="0" fontId="9" fillId="23" borderId="0" xfId="0" applyFont="1" applyFill="1">
      <alignment vertical="center"/>
    </xf>
    <xf numFmtId="0" fontId="9" fillId="24" borderId="0" xfId="0" applyFont="1" applyFill="1">
      <alignment vertical="center"/>
    </xf>
    <xf numFmtId="0" fontId="9" fillId="25" borderId="0" xfId="0" applyFont="1" applyFill="1">
      <alignment vertical="center"/>
    </xf>
    <xf numFmtId="0" fontId="1" fillId="0" borderId="0" xfId="2" applyFont="1"/>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70" xfId="0" applyFont="1" applyBorder="1" applyAlignment="1">
      <alignment horizontal="center" vertical="center"/>
    </xf>
    <xf numFmtId="0" fontId="16" fillId="0" borderId="21" xfId="10" applyFont="1" applyBorder="1"/>
    <xf numFmtId="0" fontId="12" fillId="0" borderId="51" xfId="9" quotePrefix="1" applyFont="1" applyBorder="1" applyAlignment="1">
      <alignment horizontal="centerContinuous"/>
    </xf>
    <xf numFmtId="0" fontId="12" fillId="0" borderId="51" xfId="9" applyFont="1" applyBorder="1" applyAlignment="1">
      <alignment horizontal="centerContinuous"/>
    </xf>
    <xf numFmtId="0" fontId="12" fillId="0" borderId="51" xfId="9" applyFont="1" applyBorder="1" applyAlignment="1">
      <alignment horizontal="center"/>
    </xf>
    <xf numFmtId="0" fontId="0" fillId="0" borderId="51" xfId="9" applyFont="1" applyBorder="1"/>
    <xf numFmtId="0" fontId="36" fillId="0" borderId="51" xfId="9" applyFont="1" applyBorder="1" applyAlignment="1">
      <alignment horizontal="right"/>
    </xf>
    <xf numFmtId="0" fontId="0" fillId="0" borderId="25" xfId="9" applyFont="1" applyBorder="1" applyAlignment="1">
      <alignment horizontal="center" vertical="center" wrapText="1"/>
    </xf>
    <xf numFmtId="0" fontId="12" fillId="0" borderId="46" xfId="9" applyFont="1" applyBorder="1" applyAlignment="1">
      <alignment horizontal="center" vertical="center" wrapText="1"/>
    </xf>
    <xf numFmtId="0" fontId="12" fillId="0" borderId="46" xfId="9" applyFont="1" applyBorder="1" applyAlignment="1">
      <alignment horizontal="center" vertical="center"/>
    </xf>
    <xf numFmtId="0" fontId="12" fillId="0" borderId="26" xfId="9" applyFont="1" applyBorder="1" applyAlignment="1">
      <alignment horizontal="center" vertical="center" wrapText="1"/>
    </xf>
    <xf numFmtId="0" fontId="16" fillId="20" borderId="1" xfId="11" applyFont="1" applyFill="1" applyBorder="1" applyAlignment="1"/>
    <xf numFmtId="0" fontId="16" fillId="7" borderId="1" xfId="11" applyFont="1" applyFill="1" applyBorder="1" applyAlignment="1">
      <alignment horizontal="center"/>
    </xf>
    <xf numFmtId="0" fontId="16" fillId="7" borderId="1" xfId="11" applyFont="1" applyFill="1" applyBorder="1" applyAlignment="1">
      <alignment horizontal="left"/>
    </xf>
    <xf numFmtId="176" fontId="16" fillId="7" borderId="1" xfId="11" applyNumberFormat="1" applyFont="1" applyFill="1" applyBorder="1" applyAlignment="1">
      <alignment horizontal="left"/>
    </xf>
    <xf numFmtId="165" fontId="16" fillId="0" borderId="1" xfId="11" applyNumberFormat="1" applyFont="1" applyBorder="1" applyAlignment="1"/>
    <xf numFmtId="165" fontId="16" fillId="17" borderId="1" xfId="12" applyNumberFormat="1" applyFont="1" applyFill="1" applyBorder="1" applyAlignment="1"/>
    <xf numFmtId="165" fontId="16" fillId="21" borderId="1" xfId="12" applyNumberFormat="1" applyFont="1" applyFill="1" applyBorder="1" applyAlignment="1"/>
    <xf numFmtId="14" fontId="16" fillId="7" borderId="1" xfId="10" applyNumberFormat="1" applyFont="1" applyFill="1" applyBorder="1" applyAlignment="1">
      <alignment horizontal="center" vertical="center"/>
    </xf>
    <xf numFmtId="0" fontId="0" fillId="7" borderId="1" xfId="9" applyFont="1" applyFill="1" applyBorder="1"/>
    <xf numFmtId="165" fontId="0" fillId="7" borderId="1" xfId="13" applyNumberFormat="1" applyFont="1" applyFill="1" applyBorder="1"/>
    <xf numFmtId="165" fontId="0" fillId="0" borderId="1" xfId="13" applyNumberFormat="1" applyFont="1" applyBorder="1"/>
    <xf numFmtId="165" fontId="0" fillId="0" borderId="1" xfId="9" applyNumberFormat="1" applyFont="1" applyBorder="1"/>
    <xf numFmtId="165" fontId="16" fillId="7" borderId="1" xfId="10" applyNumberFormat="1" applyFont="1" applyFill="1" applyBorder="1"/>
    <xf numFmtId="165" fontId="29" fillId="7" borderId="1" xfId="14" applyNumberFormat="1" applyFont="1" applyFill="1" applyBorder="1"/>
    <xf numFmtId="0" fontId="0" fillId="7" borderId="1" xfId="9" applyFont="1" applyFill="1" applyBorder="1" applyAlignment="1">
      <alignment wrapText="1"/>
    </xf>
    <xf numFmtId="177" fontId="16" fillId="7" borderId="1" xfId="11" applyNumberFormat="1" applyFont="1" applyFill="1" applyBorder="1" applyAlignment="1">
      <alignment horizontal="left"/>
    </xf>
    <xf numFmtId="3" fontId="16" fillId="7" borderId="1" xfId="11" applyNumberFormat="1" applyFont="1" applyFill="1" applyBorder="1" applyAlignment="1">
      <alignment horizontal="left"/>
    </xf>
    <xf numFmtId="14" fontId="16" fillId="7" borderId="1" xfId="10" applyNumberFormat="1" applyFont="1" applyFill="1" applyBorder="1" applyAlignment="1">
      <alignment horizontal="center"/>
    </xf>
    <xf numFmtId="0" fontId="0" fillId="7" borderId="1" xfId="9" applyFont="1" applyFill="1" applyBorder="1" applyAlignment="1">
      <alignment horizontal="left" wrapText="1"/>
    </xf>
    <xf numFmtId="0" fontId="0" fillId="7" borderId="1" xfId="9" applyFont="1" applyFill="1" applyBorder="1" applyAlignment="1">
      <alignment horizontal="center"/>
    </xf>
    <xf numFmtId="177" fontId="0" fillId="7" borderId="1" xfId="9" applyNumberFormat="1" applyFont="1" applyFill="1" applyBorder="1" applyAlignment="1">
      <alignment horizontal="left"/>
    </xf>
    <xf numFmtId="3" fontId="0" fillId="7" borderId="1" xfId="9" applyNumberFormat="1" applyFont="1" applyFill="1" applyBorder="1" applyAlignment="1">
      <alignment horizontal="left"/>
    </xf>
    <xf numFmtId="0" fontId="12" fillId="7" borderId="1" xfId="9" applyFont="1" applyFill="1" applyBorder="1"/>
    <xf numFmtId="0" fontId="16" fillId="7" borderId="1" xfId="9" applyFont="1" applyFill="1" applyBorder="1" applyAlignment="1">
      <alignment horizontal="center"/>
    </xf>
    <xf numFmtId="177" fontId="16" fillId="7" borderId="1" xfId="9" applyNumberFormat="1" applyFont="1" applyFill="1" applyBorder="1" applyAlignment="1">
      <alignment horizontal="left"/>
    </xf>
    <xf numFmtId="3" fontId="16" fillId="7" borderId="1" xfId="9" applyNumberFormat="1" applyFont="1" applyFill="1" applyBorder="1" applyAlignment="1">
      <alignment horizontal="left"/>
    </xf>
    <xf numFmtId="14" fontId="12" fillId="7" borderId="1" xfId="9" applyNumberFormat="1" applyFont="1" applyFill="1" applyBorder="1"/>
    <xf numFmtId="0" fontId="16" fillId="20" borderId="1" xfId="10" applyFont="1" applyFill="1" applyBorder="1"/>
    <xf numFmtId="0" fontId="16" fillId="7" borderId="1" xfId="9" applyFont="1" applyFill="1" applyBorder="1" applyAlignment="1">
      <alignment horizontal="left"/>
    </xf>
    <xf numFmtId="14" fontId="0" fillId="7" borderId="1" xfId="9" applyNumberFormat="1" applyFont="1" applyFill="1" applyBorder="1" applyAlignment="1">
      <alignment horizontal="center"/>
    </xf>
    <xf numFmtId="165" fontId="12" fillId="0" borderId="14" xfId="9" applyNumberFormat="1" applyFont="1" applyBorder="1"/>
    <xf numFmtId="0" fontId="41" fillId="0" borderId="0" xfId="0" applyFont="1">
      <alignment vertical="center"/>
    </xf>
    <xf numFmtId="0" fontId="42"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43" fillId="0" borderId="0" xfId="0" applyFont="1" applyAlignment="1">
      <alignment horizontal="left" vertical="center" wrapText="1" indent="1"/>
    </xf>
    <xf numFmtId="0" fontId="44" fillId="0" borderId="0" xfId="0" applyFont="1" applyAlignment="1">
      <alignment horizontal="left" vertical="center" wrapText="1" indent="1"/>
    </xf>
    <xf numFmtId="0" fontId="40" fillId="0" borderId="0" xfId="0" applyFont="1" applyAlignment="1">
      <alignment horizontal="right" vertical="center" wrapText="1" indent="1"/>
    </xf>
    <xf numFmtId="0" fontId="7" fillId="0" borderId="0" xfId="0" applyFont="1" applyAlignment="1">
      <alignment vertical="center" wrapText="1"/>
    </xf>
    <xf numFmtId="0" fontId="40" fillId="26" borderId="0" xfId="0" applyFont="1" applyFill="1" applyAlignment="1">
      <alignment vertical="center" wrapText="1"/>
    </xf>
    <xf numFmtId="0" fontId="41" fillId="26" borderId="0" xfId="0" applyFont="1" applyFill="1" applyAlignment="1">
      <alignment vertical="center" wrapText="1"/>
    </xf>
    <xf numFmtId="0" fontId="24" fillId="26" borderId="0" xfId="0" applyFont="1" applyFill="1" applyAlignment="1">
      <alignment vertical="center" wrapText="1"/>
    </xf>
    <xf numFmtId="0" fontId="40" fillId="27" borderId="0" xfId="0" applyFont="1" applyFill="1" applyAlignment="1">
      <alignment vertical="center" wrapText="1"/>
    </xf>
    <xf numFmtId="0" fontId="41" fillId="27" borderId="0" xfId="0" applyFont="1" applyFill="1" applyAlignment="1">
      <alignment vertical="center" wrapText="1"/>
    </xf>
    <xf numFmtId="0" fontId="19" fillId="0" borderId="0" xfId="4" applyAlignment="1" applyProtection="1">
      <alignment vertical="center"/>
    </xf>
    <xf numFmtId="166" fontId="0" fillId="0" borderId="0" xfId="3" applyNumberFormat="1" applyFont="1" applyFill="1" applyAlignment="1">
      <alignment horizontal="center"/>
    </xf>
    <xf numFmtId="0" fontId="3" fillId="0" borderId="0" xfId="2" applyAlignment="1">
      <alignment horizontal="center"/>
    </xf>
    <xf numFmtId="0" fontId="4" fillId="11" borderId="28" xfId="2" applyFont="1" applyFill="1" applyBorder="1" applyAlignment="1">
      <alignment horizontal="center" vertical="center" wrapText="1"/>
    </xf>
    <xf numFmtId="0" fontId="4" fillId="11" borderId="29" xfId="2" applyFont="1" applyFill="1" applyBorder="1" applyAlignment="1">
      <alignment horizontal="center" vertical="center" wrapText="1"/>
    </xf>
    <xf numFmtId="0" fontId="4" fillId="11" borderId="30" xfId="2" applyFont="1" applyFill="1" applyBorder="1" applyAlignment="1">
      <alignment horizontal="center" vertical="center" wrapText="1"/>
    </xf>
    <xf numFmtId="166" fontId="4" fillId="12" borderId="28" xfId="2" applyNumberFormat="1" applyFont="1" applyFill="1" applyBorder="1" applyAlignment="1">
      <alignment horizontal="center" vertical="center" wrapText="1"/>
    </xf>
    <xf numFmtId="166" fontId="4" fillId="12" borderId="29" xfId="2" applyNumberFormat="1" applyFont="1" applyFill="1" applyBorder="1" applyAlignment="1">
      <alignment horizontal="center" vertical="center" wrapText="1"/>
    </xf>
    <xf numFmtId="166" fontId="4" fillId="11" borderId="31" xfId="2" applyNumberFormat="1" applyFont="1" applyFill="1" applyBorder="1" applyAlignment="1">
      <alignment horizontal="center" vertical="center" wrapText="1"/>
    </xf>
    <xf numFmtId="166" fontId="4" fillId="11" borderId="32" xfId="2" applyNumberFormat="1" applyFont="1" applyFill="1" applyBorder="1" applyAlignment="1">
      <alignment horizontal="center" vertical="center" wrapText="1"/>
    </xf>
    <xf numFmtId="166" fontId="3" fillId="0" borderId="33" xfId="2" applyNumberFormat="1" applyBorder="1" applyAlignment="1">
      <alignment wrapText="1"/>
    </xf>
    <xf numFmtId="166" fontId="4" fillId="11" borderId="34" xfId="2" applyNumberFormat="1" applyFont="1" applyFill="1" applyBorder="1" applyAlignment="1">
      <alignment horizontal="center" vertical="center" wrapText="1"/>
    </xf>
    <xf numFmtId="166" fontId="3" fillId="0" borderId="34" xfId="2" applyNumberFormat="1" applyBorder="1" applyAlignment="1">
      <alignment horizontal="center" vertical="center" wrapText="1"/>
    </xf>
    <xf numFmtId="166" fontId="3" fillId="0" borderId="35" xfId="2" applyNumberFormat="1" applyBorder="1" applyAlignment="1">
      <alignment horizontal="center" vertical="center" wrapText="1"/>
    </xf>
    <xf numFmtId="166" fontId="4" fillId="11" borderId="30" xfId="2" applyNumberFormat="1" applyFont="1" applyFill="1" applyBorder="1" applyAlignment="1">
      <alignment horizontal="center" vertical="center" wrapText="1"/>
    </xf>
    <xf numFmtId="166" fontId="4" fillId="11" borderId="36" xfId="2" applyNumberFormat="1" applyFont="1" applyFill="1" applyBorder="1" applyAlignment="1">
      <alignment horizontal="center" vertical="center" wrapText="1"/>
    </xf>
    <xf numFmtId="166" fontId="4" fillId="11" borderId="28" xfId="2" applyNumberFormat="1" applyFont="1" applyFill="1" applyBorder="1" applyAlignment="1">
      <alignment horizontal="center" vertical="center" wrapText="1"/>
    </xf>
    <xf numFmtId="166" fontId="4" fillId="11" borderId="29" xfId="2" applyNumberFormat="1" applyFont="1" applyFill="1" applyBorder="1" applyAlignment="1">
      <alignment horizontal="center" vertical="center" wrapText="1"/>
    </xf>
    <xf numFmtId="0" fontId="4" fillId="11" borderId="37" xfId="2" applyFont="1" applyFill="1" applyBorder="1" applyAlignment="1">
      <alignment horizontal="center" vertical="center" wrapText="1"/>
    </xf>
    <xf numFmtId="0" fontId="4" fillId="11" borderId="39" xfId="2" applyFont="1" applyFill="1" applyBorder="1" applyAlignment="1">
      <alignment horizontal="center" vertical="center" wrapText="1"/>
    </xf>
    <xf numFmtId="0" fontId="40" fillId="0" borderId="0" xfId="0" applyFont="1" applyAlignment="1">
      <alignment horizontal="left" vertical="center" wrapText="1"/>
    </xf>
    <xf numFmtId="0" fontId="40" fillId="14" borderId="0" xfId="0" applyFont="1" applyFill="1" applyAlignment="1">
      <alignment horizontal="left" vertical="center" wrapText="1"/>
    </xf>
    <xf numFmtId="0" fontId="40" fillId="15" borderId="0" xfId="0" applyFont="1" applyFill="1" applyAlignment="1">
      <alignment horizontal="left" vertical="center" wrapText="1"/>
    </xf>
    <xf numFmtId="0" fontId="10" fillId="8" borderId="0" xfId="0" applyFont="1" applyFill="1" applyAlignment="1">
      <alignment horizontal="left"/>
    </xf>
    <xf numFmtId="170" fontId="0" fillId="15" borderId="55" xfId="0" applyNumberFormat="1" applyFill="1" applyBorder="1" applyAlignment="1">
      <alignment horizontal="center" vertical="center"/>
    </xf>
    <xf numFmtId="170" fontId="0" fillId="15" borderId="56" xfId="0" applyNumberFormat="1" applyFill="1" applyBorder="1" applyAlignment="1">
      <alignment horizontal="center" vertical="center"/>
    </xf>
    <xf numFmtId="0" fontId="7" fillId="0" borderId="51" xfId="0" applyFont="1" applyBorder="1" applyAlignment="1">
      <alignment horizontal="center"/>
    </xf>
    <xf numFmtId="0" fontId="7" fillId="0" borderId="22" xfId="0" applyFont="1" applyBorder="1" applyAlignment="1">
      <alignment horizontal="center"/>
    </xf>
    <xf numFmtId="0" fontId="13" fillId="15" borderId="18" xfId="0" applyFont="1" applyFill="1" applyBorder="1" applyAlignment="1">
      <alignment horizontal="center" vertical="center" wrapText="1"/>
    </xf>
    <xf numFmtId="0" fontId="13" fillId="15" borderId="10" xfId="0" applyFont="1" applyFill="1" applyBorder="1" applyAlignment="1">
      <alignment horizontal="center" vertical="center" wrapText="1"/>
    </xf>
    <xf numFmtId="0" fontId="13" fillId="15" borderId="19" xfId="0" applyFont="1" applyFill="1" applyBorder="1" applyAlignment="1">
      <alignment horizontal="center" vertical="center" wrapText="1"/>
    </xf>
    <xf numFmtId="0" fontId="13" fillId="15" borderId="11" xfId="0" applyFont="1" applyFill="1" applyBorder="1" applyAlignment="1">
      <alignment horizontal="center" vertical="center" wrapText="1"/>
    </xf>
    <xf numFmtId="0" fontId="13" fillId="15" borderId="12" xfId="0" applyFont="1" applyFill="1" applyBorder="1" applyAlignment="1">
      <alignment horizontal="center" vertical="center" wrapText="1"/>
    </xf>
    <xf numFmtId="0" fontId="13" fillId="15" borderId="13" xfId="0" applyFont="1" applyFill="1" applyBorder="1" applyAlignment="1">
      <alignment horizontal="center" vertical="center" wrapText="1"/>
    </xf>
    <xf numFmtId="0" fontId="13" fillId="0" borderId="0" xfId="0" applyFont="1" applyAlignment="1">
      <alignment horizontal="center" vertical="center"/>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1" xfId="0" applyFont="1" applyBorder="1" applyAlignment="1">
      <alignment vertical="center" wrapText="1"/>
    </xf>
    <xf numFmtId="0" fontId="0" fillId="0" borderId="42" xfId="0" applyBorder="1" applyAlignment="1">
      <alignment vertical="center" wrapText="1"/>
    </xf>
    <xf numFmtId="17" fontId="14" fillId="0" borderId="11" xfId="0" applyNumberFormat="1" applyFont="1" applyBorder="1" applyAlignment="1">
      <alignment horizontal="center" vertical="center" wrapText="1"/>
    </xf>
    <xf numFmtId="17" fontId="14" fillId="0" borderId="12" xfId="0" applyNumberFormat="1" applyFont="1" applyBorder="1" applyAlignment="1">
      <alignment horizontal="center" vertical="center" wrapText="1"/>
    </xf>
    <xf numFmtId="17" fontId="14" fillId="0" borderId="13" xfId="0" applyNumberFormat="1" applyFont="1" applyBorder="1" applyAlignment="1">
      <alignment horizontal="center" vertical="center" wrapText="1"/>
    </xf>
    <xf numFmtId="0" fontId="17" fillId="4" borderId="15" xfId="0" applyFont="1" applyFill="1" applyBorder="1" applyAlignment="1">
      <alignment horizontal="left" vertical="center"/>
    </xf>
    <xf numFmtId="0" fontId="17" fillId="4" borderId="0" xfId="0" applyFont="1" applyFill="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lignment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3" xfId="0" applyFont="1" applyFill="1" applyBorder="1" applyAlignment="1">
      <alignment horizontal="center" vertical="center" wrapText="1"/>
    </xf>
    <xf numFmtId="169" fontId="4" fillId="0" borderId="0" xfId="0" applyNumberFormat="1" applyFont="1" applyAlignment="1">
      <alignment horizontal="center" vertical="center"/>
    </xf>
    <xf numFmtId="17" fontId="14" fillId="0" borderId="45" xfId="0" applyNumberFormat="1" applyFont="1" applyBorder="1" applyAlignment="1">
      <alignment vertical="center" wrapText="1"/>
    </xf>
    <xf numFmtId="0" fontId="0" fillId="0" borderId="16" xfId="0" applyBorder="1" applyAlignment="1">
      <alignment vertical="center" wrapText="1"/>
    </xf>
    <xf numFmtId="0" fontId="4" fillId="4" borderId="1" xfId="0" applyFont="1" applyFill="1" applyBorder="1" applyAlignment="1">
      <alignment horizontal="center" vertical="center"/>
    </xf>
    <xf numFmtId="0" fontId="27" fillId="0" borderId="0" xfId="8" applyFont="1" applyAlignment="1">
      <alignment horizontal="center" vertical="center"/>
    </xf>
    <xf numFmtId="0" fontId="31" fillId="0" borderId="0" xfId="8" applyFont="1" applyAlignment="1">
      <alignment horizontal="center" vertical="top"/>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2" fillId="0" borderId="51" xfId="9" applyFont="1" applyBorder="1" applyAlignment="1">
      <alignment horizontal="center"/>
    </xf>
    <xf numFmtId="0" fontId="0" fillId="0" borderId="51" xfId="9" applyFont="1" applyBorder="1" applyAlignment="1">
      <alignment horizontal="center"/>
    </xf>
    <xf numFmtId="0" fontId="0" fillId="0" borderId="22" xfId="9" applyFont="1" applyBorder="1" applyAlignment="1">
      <alignment horizontal="center"/>
    </xf>
    <xf numFmtId="165" fontId="27" fillId="0" borderId="27" xfId="10" applyNumberFormat="1" applyFont="1" applyBorder="1" applyAlignment="1">
      <alignment horizontal="center"/>
    </xf>
    <xf numFmtId="0" fontId="27" fillId="0" borderId="27" xfId="10" applyFont="1" applyBorder="1" applyAlignment="1">
      <alignment horizontal="center"/>
    </xf>
    <xf numFmtId="0" fontId="27" fillId="17" borderId="67" xfId="6" applyFont="1" applyFill="1" applyBorder="1" applyAlignment="1" applyProtection="1">
      <alignment horizontal="center"/>
      <protection locked="0"/>
    </xf>
    <xf numFmtId="0" fontId="27" fillId="17" borderId="68" xfId="6" applyFont="1" applyFill="1" applyBorder="1" applyAlignment="1" applyProtection="1">
      <alignment horizontal="center"/>
      <protection locked="0"/>
    </xf>
    <xf numFmtId="0" fontId="27" fillId="17" borderId="66" xfId="6" applyFont="1" applyFill="1" applyBorder="1" applyAlignment="1" applyProtection="1">
      <alignment horizontal="center"/>
      <protection locked="0"/>
    </xf>
    <xf numFmtId="0" fontId="27" fillId="0" borderId="0" xfId="6" applyFont="1" applyAlignment="1">
      <alignment horizontal="left" vertical="top" wrapText="1"/>
    </xf>
    <xf numFmtId="3" fontId="16" fillId="0" borderId="11" xfId="6" applyNumberFormat="1" applyFont="1" applyBorder="1" applyAlignment="1">
      <alignment horizontal="center"/>
    </xf>
    <xf numFmtId="3" fontId="16" fillId="0" borderId="13" xfId="6" applyNumberFormat="1" applyFont="1" applyBorder="1" applyAlignment="1">
      <alignment horizontal="center"/>
    </xf>
    <xf numFmtId="3" fontId="16" fillId="0" borderId="12" xfId="6" applyNumberFormat="1" applyFont="1" applyBorder="1" applyAlignment="1">
      <alignment horizontal="center"/>
    </xf>
    <xf numFmtId="3" fontId="27" fillId="0" borderId="11" xfId="6" applyNumberFormat="1" applyFont="1" applyBorder="1" applyAlignment="1">
      <alignment horizontal="center"/>
    </xf>
    <xf numFmtId="3" fontId="27" fillId="0" borderId="13" xfId="6" applyNumberFormat="1" applyFont="1" applyBorder="1" applyAlignment="1">
      <alignment horizontal="center"/>
    </xf>
  </cellXfs>
  <cellStyles count="17">
    <cellStyle name="Comma 2" xfId="3" xr:uid="{1934D76C-46D2-46C3-ACDF-790052ECCD07}"/>
    <cellStyle name="Comma 2 2" xfId="12" xr:uid="{BC9CAEE0-AA89-4731-A116-4513DB5FEA6A}"/>
    <cellStyle name="Comma 3" xfId="13" xr:uid="{6B6B58FF-FF35-4B77-939C-05461D018B02}"/>
    <cellStyle name="Good 2" xfId="14" xr:uid="{1FE1302B-7F4F-45FD-9B47-7BC79D56D644}"/>
    <cellStyle name="Hyperlink" xfId="4" builtinId="8"/>
    <cellStyle name="Normal" xfId="0" builtinId="0"/>
    <cellStyle name="Normal 12" xfId="6" xr:uid="{0704B474-D12D-4007-BD8D-CAC8BEECEA69}"/>
    <cellStyle name="Normal 2" xfId="2" xr:uid="{FCE2B0F7-3620-44F6-99C4-A3BE4AB481F5}"/>
    <cellStyle name="Normal 2 3" xfId="11" xr:uid="{3AE960FD-9536-44C5-BF73-2185F1BFF814}"/>
    <cellStyle name="Normal 3" xfId="8" xr:uid="{5384F214-5998-478C-B4F5-2F7A941F9C8F}"/>
    <cellStyle name="Normal 3 2" xfId="9" xr:uid="{E0658DC3-EE44-4BEC-BAF4-7B12AB48E2ED}"/>
    <cellStyle name="Normal 3 3" xfId="15" xr:uid="{FC381C9E-6794-4635-9F8A-E970CE6A9638}"/>
    <cellStyle name="Normal 5" xfId="7" xr:uid="{B1E4182A-05E9-47C8-BEBE-583350910FD3}"/>
    <cellStyle name="Normal 6" xfId="16" xr:uid="{BB8F073C-B94C-4B14-8BEA-7ED22FBBCDDF}"/>
    <cellStyle name="Normal 7" xfId="10" xr:uid="{A101F042-051C-4712-95FC-4E6D9A94D76E}"/>
    <cellStyle name="Percent" xfId="5" builtinId="5"/>
    <cellStyle name="TotalStyle" xfId="1" xr:uid="{00000000-0005-0000-0000-000001000000}"/>
  </cellStyles>
  <dxfs count="17">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C000"/>
        </patternFill>
      </fill>
    </dxf>
    <dxf>
      <fill>
        <patternFill>
          <bgColor rgb="FFFF0000"/>
        </patternFill>
      </fill>
    </dxf>
    <dxf>
      <fill>
        <patternFill>
          <bgColor rgb="FF92D050"/>
        </patternFill>
      </fill>
    </dxf>
    <dxf>
      <font>
        <b/>
        <i val="0"/>
        <color rgb="FFFF0000"/>
      </font>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1104900</xdr:colOff>
      <xdr:row>2</xdr:row>
      <xdr:rowOff>1</xdr:rowOff>
    </xdr:from>
    <xdr:to>
      <xdr:col>8</xdr:col>
      <xdr:colOff>1104900</xdr:colOff>
      <xdr:row>4</xdr:row>
      <xdr:rowOff>76201</xdr:rowOff>
    </xdr:to>
    <xdr:pic>
      <xdr:nvPicPr>
        <xdr:cNvPr id="2" name="Picture 1" descr="BCC logo.">
          <a:extLst>
            <a:ext uri="{FF2B5EF4-FFF2-40B4-BE49-F238E27FC236}">
              <a16:creationId xmlns:a16="http://schemas.microsoft.com/office/drawing/2014/main" id="{ECEC6A6C-23CB-44DF-AD80-87A23375C55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8934450" y="333376"/>
          <a:ext cx="4457700" cy="571500"/>
        </a:xfrm>
        <a:prstGeom prst="rect">
          <a:avLst/>
        </a:prstGeom>
      </xdr:spPr>
    </xdr:pic>
    <xdr:clientData/>
  </xdr:twoCellAnchor>
  <xdr:twoCellAnchor editAs="oneCell">
    <xdr:from>
      <xdr:col>5</xdr:col>
      <xdr:colOff>1038225</xdr:colOff>
      <xdr:row>6</xdr:row>
      <xdr:rowOff>1</xdr:rowOff>
    </xdr:from>
    <xdr:to>
      <xdr:col>8</xdr:col>
      <xdr:colOff>1330325</xdr:colOff>
      <xdr:row>8</xdr:row>
      <xdr:rowOff>38101</xdr:rowOff>
    </xdr:to>
    <xdr:pic>
      <xdr:nvPicPr>
        <xdr:cNvPr id="3" name="Picture 2" descr="Reset Reshape Restart logo.">
          <a:extLst>
            <a:ext uri="{FF2B5EF4-FFF2-40B4-BE49-F238E27FC236}">
              <a16:creationId xmlns:a16="http://schemas.microsoft.com/office/drawing/2014/main" id="{88D82C05-F422-43C5-AC72-3C2227CE064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stretch>
          <a:fillRect/>
        </a:stretch>
      </xdr:blipFill>
      <xdr:spPr>
        <a:xfrm>
          <a:off x="8867775" y="1152526"/>
          <a:ext cx="474345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573060</xdr:colOff>
      <xdr:row>1</xdr:row>
      <xdr:rowOff>84899</xdr:rowOff>
    </xdr:from>
    <xdr:to>
      <xdr:col>6</xdr:col>
      <xdr:colOff>304800</xdr:colOff>
      <xdr:row>3</xdr:row>
      <xdr:rowOff>0</xdr:rowOff>
    </xdr:to>
    <xdr:sp macro="" textlink="">
      <xdr:nvSpPr>
        <xdr:cNvPr id="2" name="Title 3" descr="blank text box.">
          <a:extLst>
            <a:ext uri="{FF2B5EF4-FFF2-40B4-BE49-F238E27FC236}">
              <a16:creationId xmlns:a16="http://schemas.microsoft.com/office/drawing/2014/main" id="{B85AB2E7-E36A-40CF-A253-5069E22BBFC0}"/>
            </a:ext>
            <a:ext uri="{C183D7F6-B498-43B3-948B-1728B52AA6E4}">
              <adec:decorative xmlns:adec="http://schemas.microsoft.com/office/drawing/2017/decorative" val="0"/>
            </a:ext>
          </a:extLst>
        </xdr:cNvPr>
        <xdr:cNvSpPr>
          <a:spLocks noGrp="1"/>
        </xdr:cNvSpPr>
      </xdr:nvSpPr>
      <xdr:spPr>
        <a:xfrm>
          <a:off x="1830360" y="275399"/>
          <a:ext cx="2246340" cy="296101"/>
        </a:xfrm>
        <a:prstGeom prst="rect">
          <a:avLst/>
        </a:prstGeom>
      </xdr:spPr>
      <xdr:txBody>
        <a:bodyPr vert="horz" wrap="square" lIns="0" tIns="0" rIns="0" bIns="0" rtlCol="0" anchor="ctr">
          <a:noAutofit/>
        </a:bodyPr>
        <a:lstStyle>
          <a:lvl1pPr algn="l" defTabSz="914400" rtl="0" eaLnBrk="1" latinLnBrk="0" hangingPunct="1">
            <a:lnSpc>
              <a:spcPct val="80000"/>
            </a:lnSpc>
            <a:spcBef>
              <a:spcPct val="0"/>
            </a:spcBef>
            <a:buNone/>
            <a:defRPr sz="5000" kern="1200" cap="all" spc="100" baseline="0">
              <a:solidFill>
                <a:sysClr val="windowText" lastClr="000000">
                  <a:lumMod val="95000"/>
                  <a:lumOff val="5000"/>
                </a:sysClr>
              </a:solidFill>
              <a:latin typeface="Tw Cen MT Condensed" panose="020B0606020104020203"/>
            </a:defRPr>
          </a:lvl1pPr>
        </a:lstStyle>
        <a:p>
          <a:pPr rtl="0"/>
          <a:r>
            <a:rPr lang="en-GB" sz="1600" spc="-150"/>
            <a:t> </a:t>
          </a:r>
        </a:p>
      </xdr:txBody>
    </xdr:sp>
    <xdr:clientData/>
  </xdr:twoCellAnchor>
  <xdr:twoCellAnchor>
    <xdr:from>
      <xdr:col>9</xdr:col>
      <xdr:colOff>66675</xdr:colOff>
      <xdr:row>6</xdr:row>
      <xdr:rowOff>3615</xdr:rowOff>
    </xdr:from>
    <xdr:to>
      <xdr:col>10</xdr:col>
      <xdr:colOff>542926</xdr:colOff>
      <xdr:row>8</xdr:row>
      <xdr:rowOff>30514</xdr:rowOff>
    </xdr:to>
    <xdr:sp macro="" textlink="">
      <xdr:nvSpPr>
        <xdr:cNvPr id="3" name="Rectangle 2" descr="Hierarchy Level 1">
          <a:extLst>
            <a:ext uri="{FF2B5EF4-FFF2-40B4-BE49-F238E27FC236}">
              <a16:creationId xmlns:a16="http://schemas.microsoft.com/office/drawing/2014/main" id="{A65881FE-7B84-4B0E-A179-7843EBEA4C18}"/>
            </a:ext>
          </a:extLst>
        </xdr:cNvPr>
        <xdr:cNvSpPr/>
      </xdr:nvSpPr>
      <xdr:spPr>
        <a:xfrm>
          <a:off x="5724525" y="1146615"/>
          <a:ext cx="1104901" cy="407899"/>
        </a:xfrm>
        <a:prstGeom prst="rect">
          <a:avLst/>
        </a:prstGeom>
        <a:solidFill>
          <a:srgbClr val="00B0F0"/>
        </a:solidFill>
        <a:ln>
          <a:noFill/>
        </a:ln>
        <a:effectLst/>
        <a:scene3d>
          <a:camera prst="orthographicFront"/>
          <a:lightRig rig="flat" dir="t"/>
        </a:scene3d>
        <a:sp3d prstMaterial="dkEdge"/>
      </xdr:spPr>
      <xdr:style>
        <a:lnRef idx="0">
          <a:scrgbClr r="0" g="0" b="0"/>
        </a:lnRef>
        <a:fillRef idx="2">
          <a:scrgbClr r="0" g="0" b="0"/>
        </a:fillRef>
        <a:effectRef idx="1">
          <a:scrgbClr r="0" g="0" b="0"/>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t> HT L32</a:t>
          </a:r>
          <a:endParaRPr lang="en-GB" sz="1000" b="0" kern="1200"/>
        </a:p>
      </xdr:txBody>
    </xdr:sp>
    <xdr:clientData/>
  </xdr:twoCellAnchor>
  <xdr:twoCellAnchor>
    <xdr:from>
      <xdr:col>0</xdr:col>
      <xdr:colOff>323850</xdr:colOff>
      <xdr:row>7</xdr:row>
      <xdr:rowOff>39673</xdr:rowOff>
    </xdr:from>
    <xdr:to>
      <xdr:col>2</xdr:col>
      <xdr:colOff>361950</xdr:colOff>
      <xdr:row>9</xdr:row>
      <xdr:rowOff>141254</xdr:rowOff>
    </xdr:to>
    <xdr:sp macro="" textlink="">
      <xdr:nvSpPr>
        <xdr:cNvPr id="4" name="Rectangle 3" descr="Hierarchy Sub Level">
          <a:extLst>
            <a:ext uri="{FF2B5EF4-FFF2-40B4-BE49-F238E27FC236}">
              <a16:creationId xmlns:a16="http://schemas.microsoft.com/office/drawing/2014/main" id="{F5CB6C13-46A3-449D-81CE-E9383F6D0696}"/>
            </a:ext>
          </a:extLst>
        </xdr:cNvPr>
        <xdr:cNvSpPr/>
      </xdr:nvSpPr>
      <xdr:spPr>
        <a:xfrm>
          <a:off x="323850" y="1373173"/>
          <a:ext cx="1295400" cy="482581"/>
        </a:xfrm>
        <a:prstGeom prst="rect">
          <a:avLst/>
        </a:prstGeom>
        <a:solidFill>
          <a:sysClr val="window" lastClr="FFFFFF">
            <a:lumMod val="95000"/>
          </a:sys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1">
              <a:solidFill>
                <a:prstClr val="black"/>
              </a:solidFill>
              <a:latin typeface="Arial Black" panose="020B0A04020102020204" pitchFamily="34" charset="0"/>
            </a:rPr>
            <a:t>Administration</a:t>
          </a:r>
          <a:endParaRPr lang="en-GB" sz="1000" b="1" kern="1200">
            <a:solidFill>
              <a:prstClr val="black"/>
            </a:solidFill>
            <a:latin typeface="Arial Black" panose="020B0A04020102020204" pitchFamily="34" charset="0"/>
          </a:endParaRPr>
        </a:p>
      </xdr:txBody>
    </xdr:sp>
    <xdr:clientData/>
  </xdr:twoCellAnchor>
  <xdr:twoCellAnchor>
    <xdr:from>
      <xdr:col>3</xdr:col>
      <xdr:colOff>47626</xdr:colOff>
      <xdr:row>36</xdr:row>
      <xdr:rowOff>28574</xdr:rowOff>
    </xdr:from>
    <xdr:to>
      <xdr:col>6</xdr:col>
      <xdr:colOff>295276</xdr:colOff>
      <xdr:row>40</xdr:row>
      <xdr:rowOff>47625</xdr:rowOff>
    </xdr:to>
    <xdr:sp macro="" textlink="">
      <xdr:nvSpPr>
        <xdr:cNvPr id="5" name="Rectangle 4" descr="Hierarchy Level 2 Item 1">
          <a:extLst>
            <a:ext uri="{FF2B5EF4-FFF2-40B4-BE49-F238E27FC236}">
              <a16:creationId xmlns:a16="http://schemas.microsoft.com/office/drawing/2014/main" id="{28BE2FBB-CFDB-4103-BF5A-0D7E509AF301}"/>
            </a:ext>
          </a:extLst>
        </xdr:cNvPr>
        <xdr:cNvSpPr/>
      </xdr:nvSpPr>
      <xdr:spPr>
        <a:xfrm>
          <a:off x="1933576" y="6886574"/>
          <a:ext cx="2133600" cy="781051"/>
        </a:xfrm>
        <a:prstGeom prst="rect">
          <a:avLst/>
        </a:prstGeom>
        <a:solidFill>
          <a:srgbClr val="00B0F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Inclusion</a:t>
          </a:r>
          <a:r>
            <a:rPr lang="en-GB" sz="1000" b="0" kern="1200" baseline="0">
              <a:solidFill>
                <a:prstClr val="black"/>
              </a:solidFill>
            </a:rPr>
            <a:t> Manager UPS3 0.6 FTE</a:t>
          </a:r>
        </a:p>
        <a:p>
          <a:pPr marL="0" lvl="0" indent="0" algn="ctr" defTabSz="577850" rtl="0">
            <a:lnSpc>
              <a:spcPct val="90000"/>
            </a:lnSpc>
            <a:spcBef>
              <a:spcPct val="0"/>
            </a:spcBef>
            <a:spcAft>
              <a:spcPct val="35000"/>
            </a:spcAft>
            <a:buNone/>
          </a:pPr>
          <a:r>
            <a:rPr lang="en-GB" sz="1000" b="0" kern="1200" baseline="0">
              <a:solidFill>
                <a:prstClr val="black"/>
              </a:solidFill>
            </a:rPr>
            <a:t>TLR2.3. SEN allowance </a:t>
          </a:r>
          <a:endParaRPr lang="en-GB" sz="1000" b="0" kern="1200">
            <a:solidFill>
              <a:prstClr val="black"/>
            </a:solidFill>
          </a:endParaRPr>
        </a:p>
      </xdr:txBody>
    </xdr:sp>
    <xdr:clientData/>
  </xdr:twoCellAnchor>
  <xdr:twoCellAnchor>
    <xdr:from>
      <xdr:col>14</xdr:col>
      <xdr:colOff>133351</xdr:colOff>
      <xdr:row>9</xdr:row>
      <xdr:rowOff>23142</xdr:rowOff>
    </xdr:from>
    <xdr:to>
      <xdr:col>17</xdr:col>
      <xdr:colOff>104775</xdr:colOff>
      <xdr:row>12</xdr:row>
      <xdr:rowOff>57149</xdr:rowOff>
    </xdr:to>
    <xdr:sp macro="" textlink="">
      <xdr:nvSpPr>
        <xdr:cNvPr id="6" name="Rectangle 5" descr="Hierarchy Level 2 Item 3">
          <a:extLst>
            <a:ext uri="{FF2B5EF4-FFF2-40B4-BE49-F238E27FC236}">
              <a16:creationId xmlns:a16="http://schemas.microsoft.com/office/drawing/2014/main" id="{BEEF3BF9-AD08-46C2-8DA7-53F76BB65DA0}"/>
            </a:ext>
          </a:extLst>
        </xdr:cNvPr>
        <xdr:cNvSpPr/>
      </xdr:nvSpPr>
      <xdr:spPr>
        <a:xfrm>
          <a:off x="8934451" y="1737642"/>
          <a:ext cx="1857374" cy="605507"/>
        </a:xfrm>
        <a:prstGeom prst="rect">
          <a:avLst/>
        </a:prstGeom>
        <a:solidFill>
          <a:srgbClr val="00B0F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EYLead </a:t>
          </a:r>
        </a:p>
        <a:p>
          <a:pPr marL="0" lvl="0" indent="0" algn="ctr" defTabSz="577850" rtl="0">
            <a:lnSpc>
              <a:spcPct val="90000"/>
            </a:lnSpc>
            <a:spcBef>
              <a:spcPct val="0"/>
            </a:spcBef>
            <a:spcAft>
              <a:spcPct val="35000"/>
            </a:spcAft>
            <a:buNone/>
          </a:pPr>
          <a:r>
            <a:rPr lang="en-GB" sz="1000">
              <a:solidFill>
                <a:prstClr val="black"/>
              </a:solidFill>
            </a:rPr>
            <a:t>SOUL</a:t>
          </a:r>
          <a:r>
            <a:rPr lang="en-GB" sz="1000" baseline="0">
              <a:solidFill>
                <a:prstClr val="black"/>
              </a:solidFill>
            </a:rPr>
            <a:t> 06 + London Weighting</a:t>
          </a:r>
        </a:p>
        <a:p>
          <a:pPr marL="0" lvl="0" indent="0" algn="ctr" defTabSz="577850" rtl="0">
            <a:lnSpc>
              <a:spcPct val="90000"/>
            </a:lnSpc>
            <a:spcBef>
              <a:spcPct val="0"/>
            </a:spcBef>
            <a:spcAft>
              <a:spcPct val="35000"/>
            </a:spcAft>
            <a:buNone/>
          </a:pPr>
          <a:r>
            <a:rPr lang="en-GB" sz="1000">
              <a:solidFill>
                <a:prstClr val="black"/>
              </a:solidFill>
            </a:rPr>
            <a:t>1FTE</a:t>
          </a:r>
          <a:endParaRPr lang="en-GB" sz="1000" b="0" kern="1200">
            <a:solidFill>
              <a:prstClr val="black"/>
            </a:solidFill>
          </a:endParaRPr>
        </a:p>
      </xdr:txBody>
    </xdr:sp>
    <xdr:clientData/>
  </xdr:twoCellAnchor>
  <xdr:twoCellAnchor>
    <xdr:from>
      <xdr:col>17</xdr:col>
      <xdr:colOff>232319</xdr:colOff>
      <xdr:row>18</xdr:row>
      <xdr:rowOff>91105</xdr:rowOff>
    </xdr:from>
    <xdr:to>
      <xdr:col>17</xdr:col>
      <xdr:colOff>232319</xdr:colOff>
      <xdr:row>20</xdr:row>
      <xdr:rowOff>88421</xdr:rowOff>
    </xdr:to>
    <xdr:cxnSp macro="">
      <xdr:nvCxnSpPr>
        <xdr:cNvPr id="7" name="Straight Connector 6" descr="Connector Line">
          <a:extLst>
            <a:ext uri="{FF2B5EF4-FFF2-40B4-BE49-F238E27FC236}">
              <a16:creationId xmlns:a16="http://schemas.microsoft.com/office/drawing/2014/main" id="{A3EE4446-4E8F-46FD-8736-00CAB929C862}"/>
            </a:ext>
          </a:extLst>
        </xdr:cNvPr>
        <xdr:cNvCxnSpPr>
          <a:cxnSpLocks/>
        </xdr:cNvCxnSpPr>
      </xdr:nvCxnSpPr>
      <xdr:spPr>
        <a:xfrm>
          <a:off x="10919369" y="3520105"/>
          <a:ext cx="0" cy="378316"/>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170272</xdr:colOff>
      <xdr:row>18</xdr:row>
      <xdr:rowOff>53005</xdr:rowOff>
    </xdr:from>
    <xdr:to>
      <xdr:col>15</xdr:col>
      <xdr:colOff>170272</xdr:colOff>
      <xdr:row>20</xdr:row>
      <xdr:rowOff>50321</xdr:rowOff>
    </xdr:to>
    <xdr:cxnSp macro="">
      <xdr:nvCxnSpPr>
        <xdr:cNvPr id="8" name="Straight Connector 7" descr="Connector Line">
          <a:extLst>
            <a:ext uri="{FF2B5EF4-FFF2-40B4-BE49-F238E27FC236}">
              <a16:creationId xmlns:a16="http://schemas.microsoft.com/office/drawing/2014/main" id="{1EEBFDD4-DC48-4AB5-B0A6-D194B39E74B9}"/>
            </a:ext>
          </a:extLst>
        </xdr:cNvPr>
        <xdr:cNvCxnSpPr>
          <a:cxnSpLocks/>
        </xdr:cNvCxnSpPr>
      </xdr:nvCxnSpPr>
      <xdr:spPr>
        <a:xfrm>
          <a:off x="9600022" y="3482005"/>
          <a:ext cx="0" cy="378316"/>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108225</xdr:colOff>
      <xdr:row>18</xdr:row>
      <xdr:rowOff>91105</xdr:rowOff>
    </xdr:from>
    <xdr:to>
      <xdr:col>12</xdr:col>
      <xdr:colOff>108225</xdr:colOff>
      <xdr:row>20</xdr:row>
      <xdr:rowOff>88421</xdr:rowOff>
    </xdr:to>
    <xdr:cxnSp macro="">
      <xdr:nvCxnSpPr>
        <xdr:cNvPr id="9" name="Straight Connector 8" descr="Connector Line">
          <a:extLst>
            <a:ext uri="{FF2B5EF4-FFF2-40B4-BE49-F238E27FC236}">
              <a16:creationId xmlns:a16="http://schemas.microsoft.com/office/drawing/2014/main" id="{5FD83E8D-D896-40DE-B7E4-42562BA7F118}"/>
            </a:ext>
          </a:extLst>
        </xdr:cNvPr>
        <xdr:cNvCxnSpPr>
          <a:cxnSpLocks/>
        </xdr:cNvCxnSpPr>
      </xdr:nvCxnSpPr>
      <xdr:spPr>
        <a:xfrm>
          <a:off x="7652025" y="3520105"/>
          <a:ext cx="0" cy="378316"/>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46178</xdr:colOff>
      <xdr:row>18</xdr:row>
      <xdr:rowOff>79977</xdr:rowOff>
    </xdr:from>
    <xdr:to>
      <xdr:col>10</xdr:col>
      <xdr:colOff>46178</xdr:colOff>
      <xdr:row>20</xdr:row>
      <xdr:rowOff>77293</xdr:rowOff>
    </xdr:to>
    <xdr:cxnSp macro="">
      <xdr:nvCxnSpPr>
        <xdr:cNvPr id="10" name="Straight Connector 9" descr="Connector Line">
          <a:extLst>
            <a:ext uri="{FF2B5EF4-FFF2-40B4-BE49-F238E27FC236}">
              <a16:creationId xmlns:a16="http://schemas.microsoft.com/office/drawing/2014/main" id="{BF7DE5CF-36D4-43D2-8621-D97D902C2979}"/>
            </a:ext>
          </a:extLst>
        </xdr:cNvPr>
        <xdr:cNvCxnSpPr>
          <a:cxnSpLocks/>
        </xdr:cNvCxnSpPr>
      </xdr:nvCxnSpPr>
      <xdr:spPr>
        <a:xfrm>
          <a:off x="6332678" y="3508977"/>
          <a:ext cx="0" cy="378316"/>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591877</xdr:colOff>
      <xdr:row>26</xdr:row>
      <xdr:rowOff>16872</xdr:rowOff>
    </xdr:from>
    <xdr:to>
      <xdr:col>7</xdr:col>
      <xdr:colOff>591877</xdr:colOff>
      <xdr:row>26</xdr:row>
      <xdr:rowOff>136536</xdr:rowOff>
    </xdr:to>
    <xdr:cxnSp macro="">
      <xdr:nvCxnSpPr>
        <xdr:cNvPr id="11" name="Straight Connector 10" descr="Connector Line">
          <a:extLst>
            <a:ext uri="{FF2B5EF4-FFF2-40B4-BE49-F238E27FC236}">
              <a16:creationId xmlns:a16="http://schemas.microsoft.com/office/drawing/2014/main" id="{66D73872-958E-4ADB-8E59-C6B43B09EAE9}"/>
            </a:ext>
          </a:extLst>
        </xdr:cNvPr>
        <xdr:cNvCxnSpPr>
          <a:cxnSpLocks/>
        </xdr:cNvCxnSpPr>
      </xdr:nvCxnSpPr>
      <xdr:spPr>
        <a:xfrm>
          <a:off x="4992427" y="4969872"/>
          <a:ext cx="0" cy="119664"/>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96384</xdr:colOff>
      <xdr:row>25</xdr:row>
      <xdr:rowOff>118965</xdr:rowOff>
    </xdr:from>
    <xdr:to>
      <xdr:col>10</xdr:col>
      <xdr:colOff>96384</xdr:colOff>
      <xdr:row>26</xdr:row>
      <xdr:rowOff>76704</xdr:rowOff>
    </xdr:to>
    <xdr:cxnSp macro="">
      <xdr:nvCxnSpPr>
        <xdr:cNvPr id="12" name="Straight Connector 11" descr="Connector Line">
          <a:extLst>
            <a:ext uri="{FF2B5EF4-FFF2-40B4-BE49-F238E27FC236}">
              <a16:creationId xmlns:a16="http://schemas.microsoft.com/office/drawing/2014/main" id="{BB84036B-5E2F-4ADA-94D2-A1A855E608BA}"/>
            </a:ext>
          </a:extLst>
        </xdr:cNvPr>
        <xdr:cNvCxnSpPr>
          <a:cxnSpLocks/>
        </xdr:cNvCxnSpPr>
      </xdr:nvCxnSpPr>
      <xdr:spPr>
        <a:xfrm>
          <a:off x="6382884" y="4881465"/>
          <a:ext cx="0" cy="148239"/>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108225</xdr:colOff>
      <xdr:row>26</xdr:row>
      <xdr:rowOff>16872</xdr:rowOff>
    </xdr:from>
    <xdr:to>
      <xdr:col>12</xdr:col>
      <xdr:colOff>108225</xdr:colOff>
      <xdr:row>26</xdr:row>
      <xdr:rowOff>136536</xdr:rowOff>
    </xdr:to>
    <xdr:cxnSp macro="">
      <xdr:nvCxnSpPr>
        <xdr:cNvPr id="13" name="Straight Connector 12" descr="Connector Line">
          <a:extLst>
            <a:ext uri="{FF2B5EF4-FFF2-40B4-BE49-F238E27FC236}">
              <a16:creationId xmlns:a16="http://schemas.microsoft.com/office/drawing/2014/main" id="{6CE1218C-A756-490C-AF33-0F3C6E297796}"/>
            </a:ext>
          </a:extLst>
        </xdr:cNvPr>
        <xdr:cNvCxnSpPr>
          <a:cxnSpLocks/>
        </xdr:cNvCxnSpPr>
      </xdr:nvCxnSpPr>
      <xdr:spPr>
        <a:xfrm>
          <a:off x="7652025" y="4969872"/>
          <a:ext cx="0" cy="119664"/>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170272</xdr:colOff>
      <xdr:row>26</xdr:row>
      <xdr:rowOff>16872</xdr:rowOff>
    </xdr:from>
    <xdr:to>
      <xdr:col>15</xdr:col>
      <xdr:colOff>170272</xdr:colOff>
      <xdr:row>26</xdr:row>
      <xdr:rowOff>136536</xdr:rowOff>
    </xdr:to>
    <xdr:cxnSp macro="">
      <xdr:nvCxnSpPr>
        <xdr:cNvPr id="14" name="Straight Connector 13" descr="Connector Line">
          <a:extLst>
            <a:ext uri="{FF2B5EF4-FFF2-40B4-BE49-F238E27FC236}">
              <a16:creationId xmlns:a16="http://schemas.microsoft.com/office/drawing/2014/main" id="{D2861A1B-66C8-4023-B5A6-E3B463260773}"/>
            </a:ext>
          </a:extLst>
        </xdr:cNvPr>
        <xdr:cNvCxnSpPr>
          <a:cxnSpLocks/>
        </xdr:cNvCxnSpPr>
      </xdr:nvCxnSpPr>
      <xdr:spPr>
        <a:xfrm>
          <a:off x="9600022" y="4969872"/>
          <a:ext cx="0" cy="119664"/>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232319</xdr:colOff>
      <xdr:row>26</xdr:row>
      <xdr:rowOff>16872</xdr:rowOff>
    </xdr:from>
    <xdr:to>
      <xdr:col>17</xdr:col>
      <xdr:colOff>232319</xdr:colOff>
      <xdr:row>26</xdr:row>
      <xdr:rowOff>136536</xdr:rowOff>
    </xdr:to>
    <xdr:cxnSp macro="">
      <xdr:nvCxnSpPr>
        <xdr:cNvPr id="15" name="Straight Connector 14" descr="Connector Line">
          <a:extLst>
            <a:ext uri="{FF2B5EF4-FFF2-40B4-BE49-F238E27FC236}">
              <a16:creationId xmlns:a16="http://schemas.microsoft.com/office/drawing/2014/main" id="{F10B7FFD-6CB9-48D2-A560-81003964D45D}"/>
            </a:ext>
          </a:extLst>
        </xdr:cNvPr>
        <xdr:cNvCxnSpPr>
          <a:cxnSpLocks/>
        </xdr:cNvCxnSpPr>
      </xdr:nvCxnSpPr>
      <xdr:spPr>
        <a:xfrm>
          <a:off x="10919369" y="4969872"/>
          <a:ext cx="0" cy="119664"/>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15</xdr:row>
      <xdr:rowOff>38100</xdr:rowOff>
    </xdr:from>
    <xdr:to>
      <xdr:col>5</xdr:col>
      <xdr:colOff>247650</xdr:colOff>
      <xdr:row>19</xdr:row>
      <xdr:rowOff>123824</xdr:rowOff>
    </xdr:to>
    <xdr:sp macro="" textlink="">
      <xdr:nvSpPr>
        <xdr:cNvPr id="16" name="Rectangle 15" descr="Hierarchy Level 2 Item 5">
          <a:extLst>
            <a:ext uri="{FF2B5EF4-FFF2-40B4-BE49-F238E27FC236}">
              <a16:creationId xmlns:a16="http://schemas.microsoft.com/office/drawing/2014/main" id="{EF79FB1F-5C36-4EF7-82D7-40AF2112681C}"/>
            </a:ext>
          </a:extLst>
        </xdr:cNvPr>
        <xdr:cNvSpPr/>
      </xdr:nvSpPr>
      <xdr:spPr>
        <a:xfrm>
          <a:off x="2609850" y="2895600"/>
          <a:ext cx="781050" cy="847724"/>
        </a:xfrm>
        <a:prstGeom prst="rect">
          <a:avLst/>
        </a:prstGeom>
        <a:solidFill>
          <a:srgbClr val="E6D024"/>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EYFS Teacher </a:t>
          </a:r>
          <a:r>
            <a:rPr lang="en-GB" sz="1000" b="0" kern="1200">
              <a:solidFill>
                <a:prstClr val="black"/>
              </a:solidFill>
            </a:rPr>
            <a:t>UPS</a:t>
          </a:r>
          <a:r>
            <a:rPr lang="en-GB" sz="1000" b="0" kern="1200" baseline="0">
              <a:solidFill>
                <a:prstClr val="black"/>
              </a:solidFill>
            </a:rPr>
            <a:t> 2</a:t>
          </a:r>
        </a:p>
        <a:p>
          <a:pPr marL="0" lvl="0" indent="0" algn="ctr" defTabSz="577850" rtl="0">
            <a:lnSpc>
              <a:spcPct val="90000"/>
            </a:lnSpc>
            <a:spcBef>
              <a:spcPct val="0"/>
            </a:spcBef>
            <a:spcAft>
              <a:spcPct val="35000"/>
            </a:spcAft>
            <a:buNone/>
          </a:pPr>
          <a:r>
            <a:rPr lang="en-GB" sz="1000" b="0" kern="1200" baseline="0">
              <a:solidFill>
                <a:prstClr val="black"/>
              </a:solidFill>
            </a:rPr>
            <a:t>TLR 2.2</a:t>
          </a:r>
        </a:p>
        <a:p>
          <a:pPr marL="0" lvl="0" indent="0" algn="ctr" defTabSz="577850" rtl="0">
            <a:lnSpc>
              <a:spcPct val="90000"/>
            </a:lnSpc>
            <a:spcBef>
              <a:spcPct val="0"/>
            </a:spcBef>
            <a:spcAft>
              <a:spcPct val="35000"/>
            </a:spcAft>
            <a:buNone/>
          </a:pPr>
          <a:r>
            <a:rPr lang="en-GB" sz="1000" b="0" kern="1200">
              <a:solidFill>
                <a:prstClr val="black"/>
              </a:solidFill>
            </a:rPr>
            <a:t> 1FTE</a:t>
          </a:r>
        </a:p>
      </xdr:txBody>
    </xdr:sp>
    <xdr:clientData/>
  </xdr:twoCellAnchor>
  <xdr:twoCellAnchor>
    <xdr:from>
      <xdr:col>7</xdr:col>
      <xdr:colOff>247650</xdr:colOff>
      <xdr:row>15</xdr:row>
      <xdr:rowOff>57149</xdr:rowOff>
    </xdr:from>
    <xdr:to>
      <xdr:col>8</xdr:col>
      <xdr:colOff>276225</xdr:colOff>
      <xdr:row>19</xdr:row>
      <xdr:rowOff>142875</xdr:rowOff>
    </xdr:to>
    <xdr:sp macro="" textlink="">
      <xdr:nvSpPr>
        <xdr:cNvPr id="17" name="Rectangle 16" descr="Hierarchy Level 2 Item 5">
          <a:extLst>
            <a:ext uri="{FF2B5EF4-FFF2-40B4-BE49-F238E27FC236}">
              <a16:creationId xmlns:a16="http://schemas.microsoft.com/office/drawing/2014/main" id="{5E800890-ABD2-451A-8261-B96C36FB13B3}"/>
            </a:ext>
          </a:extLst>
        </xdr:cNvPr>
        <xdr:cNvSpPr/>
      </xdr:nvSpPr>
      <xdr:spPr>
        <a:xfrm>
          <a:off x="4648200" y="2914649"/>
          <a:ext cx="657225" cy="847726"/>
        </a:xfrm>
        <a:prstGeom prst="rect">
          <a:avLst/>
        </a:prstGeom>
        <a:solidFill>
          <a:srgbClr val="92D05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Yr2 Teacher UPS 1</a:t>
          </a:r>
        </a:p>
        <a:p>
          <a:pPr marL="0" lvl="0" indent="0" algn="ctr" defTabSz="577850" rtl="0">
            <a:lnSpc>
              <a:spcPct val="90000"/>
            </a:lnSpc>
            <a:spcBef>
              <a:spcPct val="0"/>
            </a:spcBef>
            <a:spcAft>
              <a:spcPct val="35000"/>
            </a:spcAft>
            <a:buNone/>
          </a:pPr>
          <a:r>
            <a:rPr lang="en-GB" sz="1000">
              <a:solidFill>
                <a:prstClr val="black"/>
              </a:solidFill>
            </a:rPr>
            <a:t>0.8</a:t>
          </a:r>
          <a:r>
            <a:rPr lang="en-GB" sz="1000" baseline="0">
              <a:solidFill>
                <a:prstClr val="black"/>
              </a:solidFill>
            </a:rPr>
            <a:t> FTE</a:t>
          </a:r>
        </a:p>
        <a:p>
          <a:pPr marL="0" lvl="0" indent="0" algn="ctr" defTabSz="577850" rtl="0">
            <a:lnSpc>
              <a:spcPct val="90000"/>
            </a:lnSpc>
            <a:spcBef>
              <a:spcPct val="0"/>
            </a:spcBef>
            <a:spcAft>
              <a:spcPct val="35000"/>
            </a:spcAft>
            <a:buNone/>
          </a:pPr>
          <a:endParaRPr lang="en-GB" sz="1000" b="0" kern="1200" baseline="0">
            <a:solidFill>
              <a:prstClr val="black"/>
            </a:solidFill>
          </a:endParaRPr>
        </a:p>
      </xdr:txBody>
    </xdr:sp>
    <xdr:clientData/>
  </xdr:twoCellAnchor>
  <xdr:twoCellAnchor>
    <xdr:from>
      <xdr:col>8</xdr:col>
      <xdr:colOff>390526</xdr:colOff>
      <xdr:row>15</xdr:row>
      <xdr:rowOff>66676</xdr:rowOff>
    </xdr:from>
    <xdr:to>
      <xdr:col>9</xdr:col>
      <xdr:colOff>409576</xdr:colOff>
      <xdr:row>19</xdr:row>
      <xdr:rowOff>152401</xdr:rowOff>
    </xdr:to>
    <xdr:sp macro="" textlink="">
      <xdr:nvSpPr>
        <xdr:cNvPr id="18" name="Rectangle 17" descr="Hierarchy Level 2 Item 5">
          <a:extLst>
            <a:ext uri="{FF2B5EF4-FFF2-40B4-BE49-F238E27FC236}">
              <a16:creationId xmlns:a16="http://schemas.microsoft.com/office/drawing/2014/main" id="{E5D47123-262E-4112-8BA0-B7B5AC993A07}"/>
            </a:ext>
          </a:extLst>
        </xdr:cNvPr>
        <xdr:cNvSpPr/>
      </xdr:nvSpPr>
      <xdr:spPr>
        <a:xfrm>
          <a:off x="5419726" y="2924176"/>
          <a:ext cx="647700" cy="847725"/>
        </a:xfrm>
        <a:prstGeom prst="rect">
          <a:avLst/>
        </a:prstGeom>
        <a:solidFill>
          <a:srgbClr val="FF000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Yr3 Teacher</a:t>
          </a:r>
        </a:p>
        <a:p>
          <a:pPr marL="0" lvl="0" indent="0" algn="ctr" defTabSz="577850" rtl="0">
            <a:lnSpc>
              <a:spcPct val="90000"/>
            </a:lnSpc>
            <a:spcBef>
              <a:spcPct val="0"/>
            </a:spcBef>
            <a:spcAft>
              <a:spcPct val="35000"/>
            </a:spcAft>
            <a:buNone/>
          </a:pPr>
          <a:r>
            <a:rPr lang="en-GB" sz="1000" b="1" kern="1200" baseline="0">
              <a:solidFill>
                <a:prstClr val="black"/>
              </a:solidFill>
            </a:rPr>
            <a:t>AGENCY</a:t>
          </a:r>
        </a:p>
        <a:p>
          <a:pPr marL="0" lvl="0" indent="0" algn="ctr" defTabSz="577850" rtl="0">
            <a:lnSpc>
              <a:spcPct val="90000"/>
            </a:lnSpc>
            <a:spcBef>
              <a:spcPct val="0"/>
            </a:spcBef>
            <a:spcAft>
              <a:spcPct val="35000"/>
            </a:spcAft>
            <a:buNone/>
          </a:pPr>
          <a:r>
            <a:rPr lang="en-GB" sz="1000" b="0" kern="1200" baseline="0">
              <a:solidFill>
                <a:prstClr val="black"/>
              </a:solidFill>
            </a:rPr>
            <a:t> 1FTE </a:t>
          </a:r>
          <a:endParaRPr lang="en-GB" sz="1000" b="0" kern="1200">
            <a:solidFill>
              <a:prstClr val="black"/>
            </a:solidFill>
          </a:endParaRPr>
        </a:p>
      </xdr:txBody>
    </xdr:sp>
    <xdr:clientData/>
  </xdr:twoCellAnchor>
  <xdr:twoCellAnchor>
    <xdr:from>
      <xdr:col>9</xdr:col>
      <xdr:colOff>562305</xdr:colOff>
      <xdr:row>15</xdr:row>
      <xdr:rowOff>85726</xdr:rowOff>
    </xdr:from>
    <xdr:to>
      <xdr:col>10</xdr:col>
      <xdr:colOff>603417</xdr:colOff>
      <xdr:row>19</xdr:row>
      <xdr:rowOff>180975</xdr:rowOff>
    </xdr:to>
    <xdr:sp macro="" textlink="">
      <xdr:nvSpPr>
        <xdr:cNvPr id="19" name="Rectangle 18" descr="Hierarchy Level 2 Item 5">
          <a:extLst>
            <a:ext uri="{FF2B5EF4-FFF2-40B4-BE49-F238E27FC236}">
              <a16:creationId xmlns:a16="http://schemas.microsoft.com/office/drawing/2014/main" id="{DD62EEAA-0E6E-4129-BCF6-3B7C384AE0F8}"/>
            </a:ext>
          </a:extLst>
        </xdr:cNvPr>
        <xdr:cNvSpPr/>
      </xdr:nvSpPr>
      <xdr:spPr>
        <a:xfrm>
          <a:off x="6220155" y="2943226"/>
          <a:ext cx="669762" cy="857249"/>
        </a:xfrm>
        <a:prstGeom prst="rect">
          <a:avLst/>
        </a:prstGeom>
        <a:solidFill>
          <a:schemeClr val="accent3"/>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900">
              <a:solidFill>
                <a:prstClr val="black"/>
              </a:solidFill>
            </a:rPr>
            <a:t> Yr4 Teacher</a:t>
          </a:r>
        </a:p>
        <a:p>
          <a:pPr marL="0" lvl="0" indent="0" algn="ctr" defTabSz="577850" rtl="0">
            <a:lnSpc>
              <a:spcPct val="90000"/>
            </a:lnSpc>
            <a:spcBef>
              <a:spcPct val="0"/>
            </a:spcBef>
            <a:spcAft>
              <a:spcPct val="35000"/>
            </a:spcAft>
            <a:buNone/>
          </a:pPr>
          <a:r>
            <a:rPr lang="en-GB" sz="900" b="1">
              <a:solidFill>
                <a:prstClr val="black"/>
              </a:solidFill>
            </a:rPr>
            <a:t>AGENCY</a:t>
          </a:r>
        </a:p>
        <a:p>
          <a:pPr marL="0" lvl="0" indent="0" algn="ctr" defTabSz="577850" rtl="0">
            <a:lnSpc>
              <a:spcPct val="90000"/>
            </a:lnSpc>
            <a:spcBef>
              <a:spcPct val="0"/>
            </a:spcBef>
            <a:spcAft>
              <a:spcPct val="35000"/>
            </a:spcAft>
            <a:buNone/>
          </a:pPr>
          <a:endParaRPr lang="en-GB" sz="900" b="1">
            <a:solidFill>
              <a:prstClr val="black"/>
            </a:solidFill>
          </a:endParaRPr>
        </a:p>
        <a:p>
          <a:pPr marL="0" lvl="0" indent="0" algn="ctr" defTabSz="577850" rtl="0">
            <a:lnSpc>
              <a:spcPct val="90000"/>
            </a:lnSpc>
            <a:spcBef>
              <a:spcPct val="0"/>
            </a:spcBef>
            <a:spcAft>
              <a:spcPct val="35000"/>
            </a:spcAft>
            <a:buNone/>
          </a:pPr>
          <a:r>
            <a:rPr lang="en-GB" sz="900" b="0" kern="1200">
              <a:solidFill>
                <a:prstClr val="black"/>
              </a:solidFill>
            </a:rPr>
            <a:t>1FTE</a:t>
          </a:r>
        </a:p>
      </xdr:txBody>
    </xdr:sp>
    <xdr:clientData/>
  </xdr:twoCellAnchor>
  <xdr:twoCellAnchor>
    <xdr:from>
      <xdr:col>11</xdr:col>
      <xdr:colOff>85725</xdr:colOff>
      <xdr:row>15</xdr:row>
      <xdr:rowOff>104776</xdr:rowOff>
    </xdr:from>
    <xdr:to>
      <xdr:col>12</xdr:col>
      <xdr:colOff>157222</xdr:colOff>
      <xdr:row>20</xdr:row>
      <xdr:rowOff>9525</xdr:rowOff>
    </xdr:to>
    <xdr:sp macro="" textlink="">
      <xdr:nvSpPr>
        <xdr:cNvPr id="20" name="Rectangle 19" descr="Hierarchy Level 2 Item 5">
          <a:extLst>
            <a:ext uri="{FF2B5EF4-FFF2-40B4-BE49-F238E27FC236}">
              <a16:creationId xmlns:a16="http://schemas.microsoft.com/office/drawing/2014/main" id="{1AEE0966-0122-4F02-9FA7-EE9E08D273C8}"/>
            </a:ext>
          </a:extLst>
        </xdr:cNvPr>
        <xdr:cNvSpPr/>
      </xdr:nvSpPr>
      <xdr:spPr>
        <a:xfrm>
          <a:off x="7000875" y="2962276"/>
          <a:ext cx="700147" cy="857249"/>
        </a:xfrm>
        <a:prstGeom prst="rect">
          <a:avLst/>
        </a:prstGeom>
        <a:solidFill>
          <a:srgbClr val="E3DED1">
            <a:lumMod val="75000"/>
          </a:srgb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Yr5 Teacher MPR 6</a:t>
          </a:r>
        </a:p>
        <a:p>
          <a:pPr marL="0" lvl="0" indent="0" algn="ctr" defTabSz="577850" rtl="0">
            <a:lnSpc>
              <a:spcPct val="90000"/>
            </a:lnSpc>
            <a:spcBef>
              <a:spcPct val="0"/>
            </a:spcBef>
            <a:spcAft>
              <a:spcPct val="35000"/>
            </a:spcAft>
            <a:buNone/>
          </a:pPr>
          <a:endParaRPr lang="en-GB" sz="1000">
            <a:solidFill>
              <a:prstClr val="black"/>
            </a:solidFill>
          </a:endParaRPr>
        </a:p>
        <a:p>
          <a:pPr marL="0" lvl="0" indent="0" algn="ctr" defTabSz="577850" rtl="0">
            <a:lnSpc>
              <a:spcPct val="90000"/>
            </a:lnSpc>
            <a:spcBef>
              <a:spcPct val="0"/>
            </a:spcBef>
            <a:spcAft>
              <a:spcPct val="35000"/>
            </a:spcAft>
            <a:buNone/>
          </a:pPr>
          <a:r>
            <a:rPr lang="en-GB" sz="1000">
              <a:solidFill>
                <a:prstClr val="black"/>
              </a:solidFill>
            </a:rPr>
            <a:t>1</a:t>
          </a:r>
          <a:r>
            <a:rPr lang="en-GB" sz="1000" baseline="0">
              <a:solidFill>
                <a:prstClr val="black"/>
              </a:solidFill>
            </a:rPr>
            <a:t> FTE</a:t>
          </a:r>
          <a:r>
            <a:rPr lang="en-GB" sz="1000">
              <a:solidFill>
                <a:prstClr val="black"/>
              </a:solidFill>
            </a:rPr>
            <a:t> </a:t>
          </a:r>
          <a:endParaRPr lang="en-GB" sz="1000" b="0" kern="1200">
            <a:solidFill>
              <a:prstClr val="black"/>
            </a:solidFill>
          </a:endParaRPr>
        </a:p>
      </xdr:txBody>
    </xdr:sp>
    <xdr:clientData/>
  </xdr:twoCellAnchor>
  <xdr:twoCellAnchor>
    <xdr:from>
      <xdr:col>12</xdr:col>
      <xdr:colOff>285750</xdr:colOff>
      <xdr:row>15</xdr:row>
      <xdr:rowOff>114300</xdr:rowOff>
    </xdr:from>
    <xdr:to>
      <xdr:col>13</xdr:col>
      <xdr:colOff>333375</xdr:colOff>
      <xdr:row>19</xdr:row>
      <xdr:rowOff>180975</xdr:rowOff>
    </xdr:to>
    <xdr:sp macro="" textlink="">
      <xdr:nvSpPr>
        <xdr:cNvPr id="21" name="Rectangle 20" descr="Hierarchy Level 2 Item 5">
          <a:extLst>
            <a:ext uri="{FF2B5EF4-FFF2-40B4-BE49-F238E27FC236}">
              <a16:creationId xmlns:a16="http://schemas.microsoft.com/office/drawing/2014/main" id="{AE427693-580D-481B-BD83-DD21983A55AC}"/>
            </a:ext>
          </a:extLst>
        </xdr:cNvPr>
        <xdr:cNvSpPr/>
      </xdr:nvSpPr>
      <xdr:spPr>
        <a:xfrm>
          <a:off x="7829550" y="2971800"/>
          <a:ext cx="676275" cy="828675"/>
        </a:xfrm>
        <a:prstGeom prst="rect">
          <a:avLst/>
        </a:prstGeom>
        <a:solidFill>
          <a:sysClr val="window" lastClr="FFFFFF">
            <a:lumMod val="85000"/>
          </a:sys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Yr6 Teacher  MPR</a:t>
          </a:r>
          <a:r>
            <a:rPr lang="en-GB" sz="1000" baseline="0">
              <a:solidFill>
                <a:prstClr val="black"/>
              </a:solidFill>
            </a:rPr>
            <a:t> 6</a:t>
          </a:r>
        </a:p>
        <a:p>
          <a:pPr marL="0" lvl="0" indent="0" algn="ctr" defTabSz="577850" rtl="0">
            <a:lnSpc>
              <a:spcPct val="90000"/>
            </a:lnSpc>
            <a:spcBef>
              <a:spcPct val="0"/>
            </a:spcBef>
            <a:spcAft>
              <a:spcPct val="35000"/>
            </a:spcAft>
            <a:buNone/>
          </a:pPr>
          <a:r>
            <a:rPr lang="en-GB" sz="1000" baseline="0">
              <a:solidFill>
                <a:prstClr val="black"/>
              </a:solidFill>
            </a:rPr>
            <a:t>TLR2.3</a:t>
          </a:r>
        </a:p>
        <a:p>
          <a:pPr marL="0" lvl="0" indent="0" algn="ctr" defTabSz="577850" rtl="0">
            <a:lnSpc>
              <a:spcPct val="90000"/>
            </a:lnSpc>
            <a:spcBef>
              <a:spcPct val="0"/>
            </a:spcBef>
            <a:spcAft>
              <a:spcPct val="35000"/>
            </a:spcAft>
            <a:buNone/>
          </a:pPr>
          <a:r>
            <a:rPr lang="en-GB" sz="1000" baseline="0">
              <a:solidFill>
                <a:prstClr val="black"/>
              </a:solidFill>
            </a:rPr>
            <a:t>1 FTE</a:t>
          </a:r>
          <a:r>
            <a:rPr lang="en-GB" sz="1000">
              <a:solidFill>
                <a:prstClr val="black"/>
              </a:solidFill>
            </a:rPr>
            <a:t> </a:t>
          </a:r>
          <a:endParaRPr lang="en-GB" sz="1000" b="0" kern="1200">
            <a:solidFill>
              <a:prstClr val="black"/>
            </a:solidFill>
          </a:endParaRPr>
        </a:p>
      </xdr:txBody>
    </xdr:sp>
    <xdr:clientData/>
  </xdr:twoCellAnchor>
  <xdr:twoCellAnchor>
    <xdr:from>
      <xdr:col>0</xdr:col>
      <xdr:colOff>608962</xdr:colOff>
      <xdr:row>14</xdr:row>
      <xdr:rowOff>357</xdr:rowOff>
    </xdr:from>
    <xdr:to>
      <xdr:col>2</xdr:col>
      <xdr:colOff>15330</xdr:colOff>
      <xdr:row>16</xdr:row>
      <xdr:rowOff>140038</xdr:rowOff>
    </xdr:to>
    <xdr:sp macro="" textlink="">
      <xdr:nvSpPr>
        <xdr:cNvPr id="22" name="Rectangle 21" descr="Hierarchy Sub Level">
          <a:extLst>
            <a:ext uri="{FF2B5EF4-FFF2-40B4-BE49-F238E27FC236}">
              <a16:creationId xmlns:a16="http://schemas.microsoft.com/office/drawing/2014/main" id="{61C1452A-8B17-4826-9A92-1B918FDAD269}"/>
            </a:ext>
          </a:extLst>
        </xdr:cNvPr>
        <xdr:cNvSpPr/>
      </xdr:nvSpPr>
      <xdr:spPr>
        <a:xfrm>
          <a:off x="608962" y="2667357"/>
          <a:ext cx="663668" cy="520681"/>
        </a:xfrm>
        <a:prstGeom prst="rect">
          <a:avLst/>
        </a:prstGeom>
        <a:solidFill>
          <a:schemeClr val="accent1">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SAO SO1</a:t>
          </a:r>
          <a:r>
            <a:rPr lang="en-GB" sz="1000" baseline="0">
              <a:solidFill>
                <a:prstClr val="black"/>
              </a:solidFill>
            </a:rPr>
            <a:t> 1FTE TT0+3</a:t>
          </a:r>
        </a:p>
        <a:p>
          <a:pPr marL="0" lvl="0" indent="0" algn="ctr" defTabSz="577850" rtl="0">
            <a:lnSpc>
              <a:spcPct val="90000"/>
            </a:lnSpc>
            <a:spcBef>
              <a:spcPct val="0"/>
            </a:spcBef>
            <a:spcAft>
              <a:spcPct val="35000"/>
            </a:spcAft>
            <a:buNone/>
          </a:pPr>
          <a:r>
            <a:rPr lang="en-GB" sz="1000" b="1" kern="1200" baseline="0">
              <a:solidFill>
                <a:prstClr val="black"/>
              </a:solidFill>
            </a:rPr>
            <a:t>VACANT</a:t>
          </a:r>
          <a:endParaRPr lang="en-GB" sz="1000" b="1" kern="1200">
            <a:solidFill>
              <a:prstClr val="black"/>
            </a:solidFill>
          </a:endParaRPr>
        </a:p>
      </xdr:txBody>
    </xdr:sp>
    <xdr:clientData/>
  </xdr:twoCellAnchor>
  <xdr:twoCellAnchor>
    <xdr:from>
      <xdr:col>0</xdr:col>
      <xdr:colOff>598083</xdr:colOff>
      <xdr:row>17</xdr:row>
      <xdr:rowOff>108075</xdr:rowOff>
    </xdr:from>
    <xdr:to>
      <xdr:col>2</xdr:col>
      <xdr:colOff>4451</xdr:colOff>
      <xdr:row>20</xdr:row>
      <xdr:rowOff>47731</xdr:rowOff>
    </xdr:to>
    <xdr:sp macro="" textlink="">
      <xdr:nvSpPr>
        <xdr:cNvPr id="23" name="Rectangle 22" descr="Hierarchy Sub Level">
          <a:extLst>
            <a:ext uri="{FF2B5EF4-FFF2-40B4-BE49-F238E27FC236}">
              <a16:creationId xmlns:a16="http://schemas.microsoft.com/office/drawing/2014/main" id="{3280A5EE-E421-4723-B083-18DCA47F1963}"/>
            </a:ext>
          </a:extLst>
        </xdr:cNvPr>
        <xdr:cNvSpPr/>
      </xdr:nvSpPr>
      <xdr:spPr>
        <a:xfrm>
          <a:off x="598083" y="3346575"/>
          <a:ext cx="663668" cy="511156"/>
        </a:xfrm>
        <a:prstGeom prst="rect">
          <a:avLst/>
        </a:prstGeom>
        <a:solidFill>
          <a:schemeClr val="accent1">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AO SC5 0.71</a:t>
          </a:r>
          <a:r>
            <a:rPr lang="en-GB" sz="1000" baseline="0">
              <a:solidFill>
                <a:prstClr val="black"/>
              </a:solidFill>
            </a:rPr>
            <a:t> TTO</a:t>
          </a:r>
          <a:endParaRPr lang="en-GB" sz="1000" b="0" kern="1200">
            <a:solidFill>
              <a:prstClr val="black"/>
            </a:solidFill>
          </a:endParaRPr>
        </a:p>
      </xdr:txBody>
    </xdr:sp>
    <xdr:clientData/>
  </xdr:twoCellAnchor>
  <xdr:twoCellAnchor>
    <xdr:from>
      <xdr:col>6</xdr:col>
      <xdr:colOff>124509</xdr:colOff>
      <xdr:row>20</xdr:row>
      <xdr:rowOff>42138</xdr:rowOff>
    </xdr:from>
    <xdr:to>
      <xdr:col>7</xdr:col>
      <xdr:colOff>161925</xdr:colOff>
      <xdr:row>24</xdr:row>
      <xdr:rowOff>66676</xdr:rowOff>
    </xdr:to>
    <xdr:sp macro="" textlink="">
      <xdr:nvSpPr>
        <xdr:cNvPr id="24" name="Rectangle 23" descr="Hierarchy Level 2 Item 5">
          <a:extLst>
            <a:ext uri="{FF2B5EF4-FFF2-40B4-BE49-F238E27FC236}">
              <a16:creationId xmlns:a16="http://schemas.microsoft.com/office/drawing/2014/main" id="{30EB74ED-BE27-4FCE-AB6E-DB8C14A187A5}"/>
            </a:ext>
          </a:extLst>
        </xdr:cNvPr>
        <xdr:cNvSpPr/>
      </xdr:nvSpPr>
      <xdr:spPr>
        <a:xfrm>
          <a:off x="3896409" y="3852138"/>
          <a:ext cx="666066" cy="786538"/>
        </a:xfrm>
        <a:prstGeom prst="rect">
          <a:avLst/>
        </a:prstGeom>
        <a:solidFill>
          <a:srgbClr val="455F51">
            <a:lumMod val="60000"/>
            <a:lumOff val="40000"/>
          </a:srgb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TA</a:t>
          </a:r>
        </a:p>
        <a:p>
          <a:pPr marL="0" lvl="0" indent="0" algn="ctr" defTabSz="577850" rtl="0">
            <a:lnSpc>
              <a:spcPct val="90000"/>
            </a:lnSpc>
            <a:spcBef>
              <a:spcPct val="0"/>
            </a:spcBef>
            <a:spcAft>
              <a:spcPct val="35000"/>
            </a:spcAft>
            <a:buNone/>
          </a:pPr>
          <a:r>
            <a:rPr lang="en-GB" sz="1000" b="0" kern="1200">
              <a:solidFill>
                <a:prstClr val="black"/>
              </a:solidFill>
            </a:rPr>
            <a:t>1FTE SC4 TTO </a:t>
          </a:r>
        </a:p>
      </xdr:txBody>
    </xdr:sp>
    <xdr:clientData/>
  </xdr:twoCellAnchor>
  <xdr:twoCellAnchor>
    <xdr:from>
      <xdr:col>3</xdr:col>
      <xdr:colOff>219076</xdr:colOff>
      <xdr:row>31</xdr:row>
      <xdr:rowOff>66675</xdr:rowOff>
    </xdr:from>
    <xdr:to>
      <xdr:col>13</xdr:col>
      <xdr:colOff>114300</xdr:colOff>
      <xdr:row>33</xdr:row>
      <xdr:rowOff>0</xdr:rowOff>
    </xdr:to>
    <xdr:sp macro="" textlink="">
      <xdr:nvSpPr>
        <xdr:cNvPr id="25" name="Rectangle 24" descr="Hierarchy Level 2 Item 5">
          <a:extLst>
            <a:ext uri="{FF2B5EF4-FFF2-40B4-BE49-F238E27FC236}">
              <a16:creationId xmlns:a16="http://schemas.microsoft.com/office/drawing/2014/main" id="{E999C59B-56A6-4762-A75D-2DA5F73B8EB2}"/>
            </a:ext>
          </a:extLst>
        </xdr:cNvPr>
        <xdr:cNvSpPr/>
      </xdr:nvSpPr>
      <xdr:spPr>
        <a:xfrm>
          <a:off x="2105026" y="5972175"/>
          <a:ext cx="6181724" cy="314325"/>
        </a:xfrm>
        <a:prstGeom prst="rect">
          <a:avLst/>
        </a:prstGeom>
        <a:solidFill>
          <a:srgbClr val="92D05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900" b="0" kern="1200">
              <a:solidFill>
                <a:prstClr val="black"/>
              </a:solidFill>
            </a:rPr>
            <a:t>HLTA SO1</a:t>
          </a:r>
          <a:r>
            <a:rPr lang="en-GB" sz="900" b="0" kern="1200" baseline="0">
              <a:solidFill>
                <a:prstClr val="black"/>
              </a:solidFill>
            </a:rPr>
            <a:t> 0.6 TTO 80% class-based </a:t>
          </a:r>
          <a:endParaRPr lang="en-GB" sz="900" b="0" kern="1200">
            <a:solidFill>
              <a:prstClr val="black"/>
            </a:solidFill>
          </a:endParaRPr>
        </a:p>
      </xdr:txBody>
    </xdr:sp>
    <xdr:clientData/>
  </xdr:twoCellAnchor>
  <xdr:twoCellAnchor>
    <xdr:from>
      <xdr:col>11</xdr:col>
      <xdr:colOff>76200</xdr:colOff>
      <xdr:row>20</xdr:row>
      <xdr:rowOff>50823</xdr:rowOff>
    </xdr:from>
    <xdr:to>
      <xdr:col>12</xdr:col>
      <xdr:colOff>190500</xdr:colOff>
      <xdr:row>24</xdr:row>
      <xdr:rowOff>104774</xdr:rowOff>
    </xdr:to>
    <xdr:sp macro="" textlink="">
      <xdr:nvSpPr>
        <xdr:cNvPr id="26" name="Rectangle 25" descr="Hierarchy Level 2 Item 5">
          <a:extLst>
            <a:ext uri="{FF2B5EF4-FFF2-40B4-BE49-F238E27FC236}">
              <a16:creationId xmlns:a16="http://schemas.microsoft.com/office/drawing/2014/main" id="{45EA66D3-FAFA-4A3B-B87A-C65BA5049526}"/>
            </a:ext>
          </a:extLst>
        </xdr:cNvPr>
        <xdr:cNvSpPr/>
      </xdr:nvSpPr>
      <xdr:spPr>
        <a:xfrm>
          <a:off x="6991350" y="3860823"/>
          <a:ext cx="742950" cy="815951"/>
        </a:xfrm>
        <a:prstGeom prst="rect">
          <a:avLst/>
        </a:prstGeom>
        <a:solidFill>
          <a:sysClr val="window" lastClr="FFFFFF">
            <a:lumMod val="85000"/>
          </a:sys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TA Y4/5/6</a:t>
          </a:r>
        </a:p>
        <a:p>
          <a:pPr marL="0" lvl="0" indent="0" algn="ctr" defTabSz="577850" rtl="0">
            <a:lnSpc>
              <a:spcPct val="90000"/>
            </a:lnSpc>
            <a:spcBef>
              <a:spcPct val="0"/>
            </a:spcBef>
            <a:spcAft>
              <a:spcPct val="35000"/>
            </a:spcAft>
            <a:buNone/>
          </a:pPr>
          <a:r>
            <a:rPr lang="en-GB" sz="1000" b="0" kern="1200">
              <a:solidFill>
                <a:prstClr val="black"/>
              </a:solidFill>
            </a:rPr>
            <a:t>1FTE SC4</a:t>
          </a:r>
        </a:p>
        <a:p>
          <a:pPr marL="0" lvl="0" indent="0" algn="ctr" defTabSz="577850" rtl="0">
            <a:lnSpc>
              <a:spcPct val="90000"/>
            </a:lnSpc>
            <a:spcBef>
              <a:spcPct val="0"/>
            </a:spcBef>
            <a:spcAft>
              <a:spcPct val="35000"/>
            </a:spcAft>
            <a:buNone/>
          </a:pPr>
          <a:r>
            <a:rPr lang="en-GB" sz="1000" b="0" kern="1200">
              <a:solidFill>
                <a:prstClr val="black"/>
              </a:solidFill>
            </a:rPr>
            <a:t>TTO</a:t>
          </a:r>
        </a:p>
        <a:p>
          <a:pPr marL="0" lvl="0" indent="0" algn="ctr" defTabSz="577850" rtl="0">
            <a:lnSpc>
              <a:spcPct val="90000"/>
            </a:lnSpc>
            <a:spcBef>
              <a:spcPct val="0"/>
            </a:spcBef>
            <a:spcAft>
              <a:spcPct val="35000"/>
            </a:spcAft>
            <a:buNone/>
          </a:pPr>
          <a:endParaRPr lang="en-GB" sz="1000" b="0" kern="1200">
            <a:solidFill>
              <a:prstClr val="black"/>
            </a:solidFill>
          </a:endParaRPr>
        </a:p>
      </xdr:txBody>
    </xdr:sp>
    <xdr:clientData/>
  </xdr:twoCellAnchor>
  <xdr:twoCellAnchor>
    <xdr:from>
      <xdr:col>0</xdr:col>
      <xdr:colOff>586680</xdr:colOff>
      <xdr:row>21</xdr:row>
      <xdr:rowOff>9851</xdr:rowOff>
    </xdr:from>
    <xdr:to>
      <xdr:col>1</xdr:col>
      <xdr:colOff>612173</xdr:colOff>
      <xdr:row>23</xdr:row>
      <xdr:rowOff>111432</xdr:rowOff>
    </xdr:to>
    <xdr:sp macro="" textlink="">
      <xdr:nvSpPr>
        <xdr:cNvPr id="27" name="Rectangle 26" descr="Hierarchy Sub Level">
          <a:extLst>
            <a:ext uri="{FF2B5EF4-FFF2-40B4-BE49-F238E27FC236}">
              <a16:creationId xmlns:a16="http://schemas.microsoft.com/office/drawing/2014/main" id="{2E913972-B41E-4C6D-B636-EF92645F6630}"/>
            </a:ext>
          </a:extLst>
        </xdr:cNvPr>
        <xdr:cNvSpPr/>
      </xdr:nvSpPr>
      <xdr:spPr>
        <a:xfrm>
          <a:off x="586680" y="4010351"/>
          <a:ext cx="654143" cy="482581"/>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AO SC5 0.57 TTO</a:t>
          </a:r>
          <a:r>
            <a:rPr lang="en-GB" sz="1300">
              <a:solidFill>
                <a:prstClr val="black"/>
              </a:solidFill>
            </a:rPr>
            <a:t> </a:t>
          </a:r>
          <a:endParaRPr lang="en-GB" sz="1300" b="0" kern="1200">
            <a:solidFill>
              <a:prstClr val="black"/>
            </a:solidFill>
          </a:endParaRPr>
        </a:p>
      </xdr:txBody>
    </xdr:sp>
    <xdr:clientData/>
  </xdr:twoCellAnchor>
  <xdr:twoCellAnchor>
    <xdr:from>
      <xdr:col>17</xdr:col>
      <xdr:colOff>9683</xdr:colOff>
      <xdr:row>35</xdr:row>
      <xdr:rowOff>152399</xdr:rowOff>
    </xdr:from>
    <xdr:to>
      <xdr:col>18</xdr:col>
      <xdr:colOff>57150</xdr:colOff>
      <xdr:row>40</xdr:row>
      <xdr:rowOff>95250</xdr:rowOff>
    </xdr:to>
    <xdr:sp macro="" textlink="">
      <xdr:nvSpPr>
        <xdr:cNvPr id="28" name="Rectangle 27" descr="Hierarchy Level 2 Item 5">
          <a:extLst>
            <a:ext uri="{FF2B5EF4-FFF2-40B4-BE49-F238E27FC236}">
              <a16:creationId xmlns:a16="http://schemas.microsoft.com/office/drawing/2014/main" id="{31367B16-2C99-4766-AF15-827DF97D547D}"/>
            </a:ext>
          </a:extLst>
        </xdr:cNvPr>
        <xdr:cNvSpPr/>
      </xdr:nvSpPr>
      <xdr:spPr>
        <a:xfrm>
          <a:off x="10696733" y="6819899"/>
          <a:ext cx="676117" cy="895351"/>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MDM 0.21 FTE SC4</a:t>
          </a:r>
        </a:p>
        <a:p>
          <a:pPr marL="0" lvl="0" indent="0" algn="ctr" defTabSz="577850" rtl="0">
            <a:lnSpc>
              <a:spcPct val="90000"/>
            </a:lnSpc>
            <a:spcBef>
              <a:spcPct val="0"/>
            </a:spcBef>
            <a:spcAft>
              <a:spcPct val="35000"/>
            </a:spcAft>
            <a:buNone/>
          </a:pPr>
          <a:r>
            <a:rPr lang="en-GB" sz="1000" b="0" kern="1200">
              <a:solidFill>
                <a:prstClr val="black"/>
              </a:solidFill>
            </a:rPr>
            <a:t>TTO </a:t>
          </a:r>
        </a:p>
      </xdr:txBody>
    </xdr:sp>
    <xdr:clientData/>
  </xdr:twoCellAnchor>
  <xdr:twoCellAnchor>
    <xdr:from>
      <xdr:col>9</xdr:col>
      <xdr:colOff>38101</xdr:colOff>
      <xdr:row>9</xdr:row>
      <xdr:rowOff>41673</xdr:rowOff>
    </xdr:from>
    <xdr:to>
      <xdr:col>10</xdr:col>
      <xdr:colOff>531851</xdr:colOff>
      <xdr:row>11</xdr:row>
      <xdr:rowOff>123825</xdr:rowOff>
    </xdr:to>
    <xdr:sp macro="" textlink="">
      <xdr:nvSpPr>
        <xdr:cNvPr id="29" name="Rectangle 28" descr="Hierarchy Level 2 Item 3">
          <a:extLst>
            <a:ext uri="{FF2B5EF4-FFF2-40B4-BE49-F238E27FC236}">
              <a16:creationId xmlns:a16="http://schemas.microsoft.com/office/drawing/2014/main" id="{8295CFF8-DC0C-495B-A612-3125C00B2D6B}"/>
            </a:ext>
          </a:extLst>
        </xdr:cNvPr>
        <xdr:cNvSpPr/>
      </xdr:nvSpPr>
      <xdr:spPr>
        <a:xfrm>
          <a:off x="5695951" y="1756173"/>
          <a:ext cx="1122400" cy="463152"/>
        </a:xfrm>
        <a:prstGeom prst="rect">
          <a:avLst/>
        </a:prstGeom>
        <a:solidFill>
          <a:srgbClr val="00B0F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DHT L14 1FTE</a:t>
          </a:r>
        </a:p>
        <a:p>
          <a:pPr marL="0" lvl="0" indent="0" algn="ctr" defTabSz="577850" rtl="0">
            <a:lnSpc>
              <a:spcPct val="90000"/>
            </a:lnSpc>
            <a:spcBef>
              <a:spcPct val="0"/>
            </a:spcBef>
            <a:spcAft>
              <a:spcPct val="35000"/>
            </a:spcAft>
            <a:buNone/>
          </a:pPr>
          <a:r>
            <a:rPr lang="en-GB" sz="1000" b="0" kern="1200">
              <a:solidFill>
                <a:prstClr val="black"/>
              </a:solidFill>
            </a:rPr>
            <a:t>40% class-based</a:t>
          </a:r>
        </a:p>
      </xdr:txBody>
    </xdr:sp>
    <xdr:clientData/>
  </xdr:twoCellAnchor>
  <xdr:twoCellAnchor>
    <xdr:from>
      <xdr:col>6</xdr:col>
      <xdr:colOff>406448</xdr:colOff>
      <xdr:row>36</xdr:row>
      <xdr:rowOff>5701</xdr:rowOff>
    </xdr:from>
    <xdr:to>
      <xdr:col>9</xdr:col>
      <xdr:colOff>304800</xdr:colOff>
      <xdr:row>40</xdr:row>
      <xdr:rowOff>47625</xdr:rowOff>
    </xdr:to>
    <xdr:sp macro="" textlink="">
      <xdr:nvSpPr>
        <xdr:cNvPr id="30" name="Rectangle 29" descr="Hierarchy Level 2 Item 3">
          <a:extLst>
            <a:ext uri="{FF2B5EF4-FFF2-40B4-BE49-F238E27FC236}">
              <a16:creationId xmlns:a16="http://schemas.microsoft.com/office/drawing/2014/main" id="{5821FE53-BF5A-45E2-8E39-F8FF0ABA5473}"/>
            </a:ext>
          </a:extLst>
        </xdr:cNvPr>
        <xdr:cNvSpPr/>
      </xdr:nvSpPr>
      <xdr:spPr>
        <a:xfrm>
          <a:off x="4178348" y="6863701"/>
          <a:ext cx="1784302" cy="803924"/>
        </a:xfrm>
        <a:prstGeom prst="rect">
          <a:avLst/>
        </a:prstGeom>
        <a:solidFill>
          <a:srgbClr val="FFFF0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Pastoral</a:t>
          </a:r>
          <a:r>
            <a:rPr lang="en-GB" sz="1000" baseline="0">
              <a:solidFill>
                <a:prstClr val="black"/>
              </a:solidFill>
            </a:rPr>
            <a:t> </a:t>
          </a:r>
          <a:r>
            <a:rPr lang="en-GB" sz="1000">
              <a:solidFill>
                <a:prstClr val="black"/>
              </a:solidFill>
            </a:rPr>
            <a:t>&amp; Welfare Lead</a:t>
          </a:r>
          <a:r>
            <a:rPr lang="en-GB" sz="1000" baseline="0">
              <a:solidFill>
                <a:prstClr val="black"/>
              </a:solidFill>
            </a:rPr>
            <a:t> </a:t>
          </a:r>
          <a:r>
            <a:rPr lang="en-GB" sz="1000">
              <a:solidFill>
                <a:prstClr val="black"/>
              </a:solidFill>
            </a:rPr>
            <a:t>  1FTE PO3</a:t>
          </a:r>
        </a:p>
        <a:p>
          <a:pPr marL="0" lvl="0" indent="0" algn="ctr" defTabSz="577850" rtl="0">
            <a:lnSpc>
              <a:spcPct val="90000"/>
            </a:lnSpc>
            <a:spcBef>
              <a:spcPct val="0"/>
            </a:spcBef>
            <a:spcAft>
              <a:spcPct val="35000"/>
            </a:spcAft>
            <a:buNone/>
          </a:pPr>
          <a:r>
            <a:rPr lang="en-GB" sz="1000" b="0" kern="1200">
              <a:solidFill>
                <a:prstClr val="black"/>
              </a:solidFill>
            </a:rPr>
            <a:t>TTO</a:t>
          </a:r>
        </a:p>
      </xdr:txBody>
    </xdr:sp>
    <xdr:clientData/>
  </xdr:twoCellAnchor>
  <xdr:twoCellAnchor>
    <xdr:from>
      <xdr:col>0</xdr:col>
      <xdr:colOff>571500</xdr:colOff>
      <xdr:row>10</xdr:row>
      <xdr:rowOff>1</xdr:rowOff>
    </xdr:from>
    <xdr:to>
      <xdr:col>2</xdr:col>
      <xdr:colOff>31148</xdr:colOff>
      <xdr:row>12</xdr:row>
      <xdr:rowOff>175419</xdr:rowOff>
    </xdr:to>
    <xdr:sp macro="" textlink="">
      <xdr:nvSpPr>
        <xdr:cNvPr id="31" name="Rectangle 30" descr="Hierarchy Sub Level">
          <a:extLst>
            <a:ext uri="{FF2B5EF4-FFF2-40B4-BE49-F238E27FC236}">
              <a16:creationId xmlns:a16="http://schemas.microsoft.com/office/drawing/2014/main" id="{C9FB74FA-5F14-4BB5-BF2C-9D8D5EFF349E}"/>
            </a:ext>
          </a:extLst>
        </xdr:cNvPr>
        <xdr:cNvSpPr/>
      </xdr:nvSpPr>
      <xdr:spPr>
        <a:xfrm>
          <a:off x="571500" y="1905001"/>
          <a:ext cx="716948" cy="556418"/>
        </a:xfrm>
        <a:prstGeom prst="rect">
          <a:avLst/>
        </a:prstGeom>
        <a:solidFill>
          <a:schemeClr val="accent1">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SBM PO6 1FTE TTO+3</a:t>
          </a:r>
          <a:endParaRPr lang="en-GB" sz="1000" b="0" kern="1200">
            <a:solidFill>
              <a:prstClr val="black"/>
            </a:solidFill>
          </a:endParaRPr>
        </a:p>
      </xdr:txBody>
    </xdr:sp>
    <xdr:clientData/>
  </xdr:twoCellAnchor>
  <xdr:twoCellAnchor>
    <xdr:from>
      <xdr:col>3</xdr:col>
      <xdr:colOff>228600</xdr:colOff>
      <xdr:row>20</xdr:row>
      <xdr:rowOff>9791</xdr:rowOff>
    </xdr:from>
    <xdr:to>
      <xdr:col>4</xdr:col>
      <xdr:colOff>438150</xdr:colOff>
      <xdr:row>24</xdr:row>
      <xdr:rowOff>85725</xdr:rowOff>
    </xdr:to>
    <xdr:sp macro="" textlink="">
      <xdr:nvSpPr>
        <xdr:cNvPr id="32" name="Rectangle 31" descr="Hierarchy Level 2 Item 5">
          <a:extLst>
            <a:ext uri="{FF2B5EF4-FFF2-40B4-BE49-F238E27FC236}">
              <a16:creationId xmlns:a16="http://schemas.microsoft.com/office/drawing/2014/main" id="{27A2025F-2E03-42FC-BE38-E32051A6BAE0}"/>
            </a:ext>
          </a:extLst>
        </xdr:cNvPr>
        <xdr:cNvSpPr/>
      </xdr:nvSpPr>
      <xdr:spPr>
        <a:xfrm>
          <a:off x="2114550" y="3819791"/>
          <a:ext cx="838200" cy="837934"/>
        </a:xfrm>
        <a:prstGeom prst="rect">
          <a:avLst/>
        </a:prstGeom>
        <a:solidFill>
          <a:srgbClr val="4EB3CF">
            <a:lumMod val="75000"/>
          </a:srgb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EY</a:t>
          </a:r>
          <a:r>
            <a:rPr lang="en-GB" sz="1000" baseline="0">
              <a:solidFill>
                <a:prstClr val="black"/>
              </a:solidFill>
            </a:rPr>
            <a:t> </a:t>
          </a:r>
          <a:r>
            <a:rPr lang="en-GB" sz="1000">
              <a:solidFill>
                <a:prstClr val="black"/>
              </a:solidFill>
            </a:rPr>
            <a:t>Educator </a:t>
          </a:r>
          <a:endParaRPr lang="en-GB" sz="1000" b="1" kern="1200" baseline="0">
            <a:solidFill>
              <a:prstClr val="black"/>
            </a:solidFill>
          </a:endParaRPr>
        </a:p>
        <a:p>
          <a:pPr marL="0" lvl="0" indent="0" algn="ctr" defTabSz="577850" rtl="0">
            <a:lnSpc>
              <a:spcPct val="90000"/>
            </a:lnSpc>
            <a:spcBef>
              <a:spcPct val="0"/>
            </a:spcBef>
            <a:spcAft>
              <a:spcPct val="35000"/>
            </a:spcAft>
            <a:buNone/>
          </a:pPr>
          <a:r>
            <a:rPr lang="en-GB" sz="1000" b="0" kern="1200" baseline="0">
              <a:solidFill>
                <a:prstClr val="black"/>
              </a:solidFill>
            </a:rPr>
            <a:t>1 FTE SC6</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6</xdr:col>
      <xdr:colOff>142875</xdr:colOff>
      <xdr:row>15</xdr:row>
      <xdr:rowOff>19050</xdr:rowOff>
    </xdr:from>
    <xdr:to>
      <xdr:col>7</xdr:col>
      <xdr:colOff>176915</xdr:colOff>
      <xdr:row>19</xdr:row>
      <xdr:rowOff>114300</xdr:rowOff>
    </xdr:to>
    <xdr:sp macro="" textlink="">
      <xdr:nvSpPr>
        <xdr:cNvPr id="33" name="Rectangle 32" descr="Hierarchy Level 2 Item 5">
          <a:extLst>
            <a:ext uri="{FF2B5EF4-FFF2-40B4-BE49-F238E27FC236}">
              <a16:creationId xmlns:a16="http://schemas.microsoft.com/office/drawing/2014/main" id="{764FD9AF-505E-4CC7-8CF4-E874DEB7DDDF}"/>
            </a:ext>
          </a:extLst>
        </xdr:cNvPr>
        <xdr:cNvSpPr/>
      </xdr:nvSpPr>
      <xdr:spPr>
        <a:xfrm>
          <a:off x="3914775" y="2876550"/>
          <a:ext cx="662690" cy="857250"/>
        </a:xfrm>
        <a:prstGeom prst="rect">
          <a:avLst/>
        </a:prstGeom>
        <a:solidFill>
          <a:srgbClr val="4EB3CF">
            <a:lumMod val="75000"/>
          </a:srgb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Yr1</a:t>
          </a:r>
          <a:r>
            <a:rPr lang="en-GB" sz="1000" baseline="0">
              <a:solidFill>
                <a:prstClr val="black"/>
              </a:solidFill>
            </a:rPr>
            <a:t> Teacher MPR 6. </a:t>
          </a:r>
        </a:p>
        <a:p>
          <a:pPr marL="0" lvl="0" indent="0" algn="ctr" defTabSz="577850" rtl="0">
            <a:lnSpc>
              <a:spcPct val="90000"/>
            </a:lnSpc>
            <a:spcBef>
              <a:spcPct val="0"/>
            </a:spcBef>
            <a:spcAft>
              <a:spcPct val="35000"/>
            </a:spcAft>
            <a:buNone/>
          </a:pPr>
          <a:r>
            <a:rPr lang="en-GB" sz="1000" baseline="0">
              <a:solidFill>
                <a:prstClr val="black"/>
              </a:solidFill>
            </a:rPr>
            <a:t>TLR 2.1</a:t>
          </a:r>
        </a:p>
        <a:p>
          <a:pPr marL="0" lvl="0" indent="0" algn="ctr" defTabSz="577850" rtl="0">
            <a:lnSpc>
              <a:spcPct val="90000"/>
            </a:lnSpc>
            <a:spcBef>
              <a:spcPct val="0"/>
            </a:spcBef>
            <a:spcAft>
              <a:spcPct val="35000"/>
            </a:spcAft>
            <a:buNone/>
          </a:pPr>
          <a:r>
            <a:rPr lang="en-GB" sz="1000" baseline="0">
              <a:solidFill>
                <a:prstClr val="black"/>
              </a:solidFill>
            </a:rPr>
            <a:t>1FTE </a:t>
          </a:r>
          <a:endParaRPr lang="en-GB" sz="1000" b="0" kern="1200">
            <a:solidFill>
              <a:prstClr val="black"/>
            </a:solidFill>
          </a:endParaRPr>
        </a:p>
      </xdr:txBody>
    </xdr:sp>
    <xdr:clientData/>
  </xdr:twoCellAnchor>
  <xdr:twoCellAnchor>
    <xdr:from>
      <xdr:col>3</xdr:col>
      <xdr:colOff>271993</xdr:colOff>
      <xdr:row>24</xdr:row>
      <xdr:rowOff>123826</xdr:rowOff>
    </xdr:from>
    <xdr:to>
      <xdr:col>4</xdr:col>
      <xdr:colOff>419100</xdr:colOff>
      <xdr:row>28</xdr:row>
      <xdr:rowOff>161926</xdr:rowOff>
    </xdr:to>
    <xdr:sp macro="" textlink="">
      <xdr:nvSpPr>
        <xdr:cNvPr id="34" name="Rectangle 33" descr="Hierarchy Level 2 Item 5">
          <a:extLst>
            <a:ext uri="{FF2B5EF4-FFF2-40B4-BE49-F238E27FC236}">
              <a16:creationId xmlns:a16="http://schemas.microsoft.com/office/drawing/2014/main" id="{B1382624-7F8A-4820-9ADB-36E2A50DE908}"/>
            </a:ext>
          </a:extLst>
        </xdr:cNvPr>
        <xdr:cNvSpPr/>
      </xdr:nvSpPr>
      <xdr:spPr>
        <a:xfrm>
          <a:off x="2157943" y="4695826"/>
          <a:ext cx="775757" cy="800100"/>
        </a:xfrm>
        <a:prstGeom prst="rect">
          <a:avLst/>
        </a:prstGeom>
        <a:solidFill>
          <a:srgbClr val="66FFFF"/>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EYFS</a:t>
          </a:r>
          <a:r>
            <a:rPr lang="en-GB" sz="1000" baseline="0">
              <a:solidFill>
                <a:prstClr val="black"/>
              </a:solidFill>
            </a:rPr>
            <a:t> SEN</a:t>
          </a:r>
        </a:p>
        <a:p>
          <a:pPr marL="0" lvl="0" indent="0" algn="ctr" defTabSz="577850" rtl="0">
            <a:lnSpc>
              <a:spcPct val="90000"/>
            </a:lnSpc>
            <a:spcBef>
              <a:spcPct val="0"/>
            </a:spcBef>
            <a:spcAft>
              <a:spcPct val="35000"/>
            </a:spcAft>
            <a:buNone/>
          </a:pPr>
          <a:r>
            <a:rPr lang="en-GB" sz="1000">
              <a:solidFill>
                <a:prstClr val="black"/>
              </a:solidFill>
            </a:rPr>
            <a:t>1FTE SC6</a:t>
          </a:r>
        </a:p>
        <a:p>
          <a:pPr marL="0" lvl="0" indent="0" algn="ctr" defTabSz="577850" rtl="0">
            <a:lnSpc>
              <a:spcPct val="90000"/>
            </a:lnSpc>
            <a:spcBef>
              <a:spcPct val="0"/>
            </a:spcBef>
            <a:spcAft>
              <a:spcPct val="35000"/>
            </a:spcAft>
            <a:buNone/>
          </a:pPr>
          <a:r>
            <a:rPr lang="en-GB" sz="1000">
              <a:solidFill>
                <a:prstClr val="black"/>
              </a:solidFill>
            </a:rPr>
            <a:t>SEN</a:t>
          </a:r>
          <a:r>
            <a:rPr lang="en-GB" sz="1000" baseline="0">
              <a:solidFill>
                <a:prstClr val="black"/>
              </a:solidFill>
            </a:rPr>
            <a:t> allowance</a:t>
          </a:r>
          <a:r>
            <a:rPr lang="en-GB" sz="1000">
              <a:solidFill>
                <a:prstClr val="black"/>
              </a:solidFill>
            </a:rPr>
            <a:t> TTO </a:t>
          </a:r>
          <a:endParaRPr lang="en-GB" sz="1000" b="0" kern="1200">
            <a:solidFill>
              <a:prstClr val="black"/>
            </a:solidFill>
          </a:endParaRPr>
        </a:p>
      </xdr:txBody>
    </xdr:sp>
    <xdr:clientData/>
  </xdr:twoCellAnchor>
  <xdr:twoCellAnchor>
    <xdr:from>
      <xdr:col>7</xdr:col>
      <xdr:colOff>290566</xdr:colOff>
      <xdr:row>20</xdr:row>
      <xdr:rowOff>38100</xdr:rowOff>
    </xdr:from>
    <xdr:to>
      <xdr:col>8</xdr:col>
      <xdr:colOff>316876</xdr:colOff>
      <xdr:row>24</xdr:row>
      <xdr:rowOff>66675</xdr:rowOff>
    </xdr:to>
    <xdr:sp macro="" textlink="">
      <xdr:nvSpPr>
        <xdr:cNvPr id="35" name="Rectangle 34" descr="Hierarchy Level 2 Item 5">
          <a:extLst>
            <a:ext uri="{FF2B5EF4-FFF2-40B4-BE49-F238E27FC236}">
              <a16:creationId xmlns:a16="http://schemas.microsoft.com/office/drawing/2014/main" id="{7EBDCC6B-4C13-4B1E-83DE-8653476AABA4}"/>
            </a:ext>
          </a:extLst>
        </xdr:cNvPr>
        <xdr:cNvSpPr/>
      </xdr:nvSpPr>
      <xdr:spPr>
        <a:xfrm>
          <a:off x="4691116" y="3848100"/>
          <a:ext cx="654960" cy="790575"/>
        </a:xfrm>
        <a:prstGeom prst="rect">
          <a:avLst/>
        </a:prstGeom>
        <a:solidFill>
          <a:srgbClr val="92D05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TA</a:t>
          </a:r>
        </a:p>
        <a:p>
          <a:pPr marL="0" lvl="0" indent="0" algn="ctr" defTabSz="577850" rtl="0">
            <a:lnSpc>
              <a:spcPct val="90000"/>
            </a:lnSpc>
            <a:spcBef>
              <a:spcPct val="0"/>
            </a:spcBef>
            <a:spcAft>
              <a:spcPct val="35000"/>
            </a:spcAft>
            <a:buNone/>
          </a:pPr>
          <a:r>
            <a:rPr lang="en-GB" sz="1000" b="0" kern="1200">
              <a:solidFill>
                <a:prstClr val="black"/>
              </a:solidFill>
            </a:rPr>
            <a:t>1FTE</a:t>
          </a:r>
          <a:r>
            <a:rPr lang="en-GB" sz="1000" b="0" kern="1200" baseline="0">
              <a:solidFill>
                <a:prstClr val="black"/>
              </a:solidFill>
            </a:rPr>
            <a:t> SC4</a:t>
          </a:r>
          <a:r>
            <a:rPr lang="en-GB" sz="1000" b="0" kern="1200">
              <a:solidFill>
                <a:prstClr val="black"/>
              </a:solidFill>
            </a:rPr>
            <a:t>  </a:t>
          </a:r>
        </a:p>
        <a:p>
          <a:pPr marL="0" lvl="0" indent="0" algn="ctr" defTabSz="577850" rtl="0">
            <a:lnSpc>
              <a:spcPct val="90000"/>
            </a:lnSpc>
            <a:spcBef>
              <a:spcPct val="0"/>
            </a:spcBef>
            <a:spcAft>
              <a:spcPct val="35000"/>
            </a:spcAft>
            <a:buNone/>
          </a:pPr>
          <a:r>
            <a:rPr lang="en-GB" sz="1000" b="0" kern="1200">
              <a:solidFill>
                <a:prstClr val="black"/>
              </a:solidFill>
            </a:rPr>
            <a:t>TT0</a:t>
          </a:r>
        </a:p>
      </xdr:txBody>
    </xdr:sp>
    <xdr:clientData/>
  </xdr:twoCellAnchor>
  <xdr:twoCellAnchor>
    <xdr:from>
      <xdr:col>8</xdr:col>
      <xdr:colOff>419101</xdr:colOff>
      <xdr:row>20</xdr:row>
      <xdr:rowOff>47624</xdr:rowOff>
    </xdr:from>
    <xdr:to>
      <xdr:col>9</xdr:col>
      <xdr:colOff>432699</xdr:colOff>
      <xdr:row>24</xdr:row>
      <xdr:rowOff>85725</xdr:rowOff>
    </xdr:to>
    <xdr:sp macro="" textlink="">
      <xdr:nvSpPr>
        <xdr:cNvPr id="36" name="Rectangle 35" descr="Hierarchy Level 2 Item 5">
          <a:extLst>
            <a:ext uri="{FF2B5EF4-FFF2-40B4-BE49-F238E27FC236}">
              <a16:creationId xmlns:a16="http://schemas.microsoft.com/office/drawing/2014/main" id="{A206C634-9E7E-4A0C-B3A6-244B82E4C7EC}"/>
            </a:ext>
          </a:extLst>
        </xdr:cNvPr>
        <xdr:cNvSpPr/>
      </xdr:nvSpPr>
      <xdr:spPr>
        <a:xfrm>
          <a:off x="5448301" y="3857624"/>
          <a:ext cx="642248" cy="800101"/>
        </a:xfrm>
        <a:prstGeom prst="rect">
          <a:avLst/>
        </a:prstGeom>
        <a:solidFill>
          <a:srgbClr val="FF000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TA</a:t>
          </a:r>
        </a:p>
        <a:p>
          <a:pPr marL="0" lvl="0" indent="0" algn="ctr" defTabSz="577850" rtl="0">
            <a:lnSpc>
              <a:spcPct val="90000"/>
            </a:lnSpc>
            <a:spcBef>
              <a:spcPct val="0"/>
            </a:spcBef>
            <a:spcAft>
              <a:spcPct val="35000"/>
            </a:spcAft>
            <a:buNone/>
          </a:pPr>
          <a:r>
            <a:rPr lang="en-GB" sz="1000" b="1">
              <a:solidFill>
                <a:prstClr val="black"/>
              </a:solidFill>
            </a:rPr>
            <a:t>AGENCY</a:t>
          </a:r>
        </a:p>
        <a:p>
          <a:pPr marL="0" lvl="0" indent="0" algn="ctr" defTabSz="577850" rtl="0">
            <a:lnSpc>
              <a:spcPct val="90000"/>
            </a:lnSpc>
            <a:spcBef>
              <a:spcPct val="0"/>
            </a:spcBef>
            <a:spcAft>
              <a:spcPct val="35000"/>
            </a:spcAft>
            <a:buNone/>
          </a:pPr>
          <a:r>
            <a:rPr lang="en-GB" sz="1000" b="0">
              <a:solidFill>
                <a:prstClr val="black"/>
              </a:solidFill>
            </a:rPr>
            <a:t>1</a:t>
          </a:r>
          <a:r>
            <a:rPr lang="en-GB" sz="1000" b="0" baseline="0">
              <a:solidFill>
                <a:prstClr val="black"/>
              </a:solidFill>
            </a:rPr>
            <a:t> </a:t>
          </a:r>
          <a:r>
            <a:rPr lang="en-GB" sz="1000" b="0">
              <a:solidFill>
                <a:prstClr val="black"/>
              </a:solidFill>
            </a:rPr>
            <a:t>FTE</a:t>
          </a:r>
        </a:p>
        <a:p>
          <a:pPr marL="0" lvl="0" indent="0" algn="ctr" defTabSz="577850" rtl="0">
            <a:lnSpc>
              <a:spcPct val="90000"/>
            </a:lnSpc>
            <a:spcBef>
              <a:spcPct val="0"/>
            </a:spcBef>
            <a:spcAft>
              <a:spcPct val="35000"/>
            </a:spcAft>
            <a:buNone/>
          </a:pPr>
          <a:r>
            <a:rPr lang="en-GB" sz="1000" b="0">
              <a:solidFill>
                <a:prstClr val="black"/>
              </a:solidFill>
            </a:rPr>
            <a:t>TTO</a:t>
          </a:r>
        </a:p>
      </xdr:txBody>
    </xdr:sp>
    <xdr:clientData/>
  </xdr:twoCellAnchor>
  <xdr:twoCellAnchor>
    <xdr:from>
      <xdr:col>9</xdr:col>
      <xdr:colOff>428625</xdr:colOff>
      <xdr:row>40</xdr:row>
      <xdr:rowOff>152399</xdr:rowOff>
    </xdr:from>
    <xdr:to>
      <xdr:col>11</xdr:col>
      <xdr:colOff>361950</xdr:colOff>
      <xdr:row>43</xdr:row>
      <xdr:rowOff>152399</xdr:rowOff>
    </xdr:to>
    <xdr:sp macro="" textlink="">
      <xdr:nvSpPr>
        <xdr:cNvPr id="37" name="Rectangle 36" descr="Hierarchy Level 2 Item 5">
          <a:extLst>
            <a:ext uri="{FF2B5EF4-FFF2-40B4-BE49-F238E27FC236}">
              <a16:creationId xmlns:a16="http://schemas.microsoft.com/office/drawing/2014/main" id="{14191630-2039-428E-86CC-702F535708F5}"/>
            </a:ext>
          </a:extLst>
        </xdr:cNvPr>
        <xdr:cNvSpPr/>
      </xdr:nvSpPr>
      <xdr:spPr>
        <a:xfrm>
          <a:off x="6086475" y="7772399"/>
          <a:ext cx="1190625" cy="57150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ASC 0.43 FTE SC4</a:t>
          </a:r>
          <a:r>
            <a:rPr lang="en-GB" sz="1000" baseline="0">
              <a:solidFill>
                <a:prstClr val="black"/>
              </a:solidFill>
            </a:rPr>
            <a:t> </a:t>
          </a:r>
          <a:r>
            <a:rPr lang="en-GB" sz="1000">
              <a:solidFill>
                <a:prstClr val="black"/>
              </a:solidFill>
            </a:rPr>
            <a:t> </a:t>
          </a:r>
        </a:p>
        <a:p>
          <a:pPr marL="0" lvl="0" indent="0" algn="ctr" defTabSz="577850" rtl="0">
            <a:lnSpc>
              <a:spcPct val="90000"/>
            </a:lnSpc>
            <a:spcBef>
              <a:spcPct val="0"/>
            </a:spcBef>
            <a:spcAft>
              <a:spcPct val="35000"/>
            </a:spcAft>
            <a:buNone/>
          </a:pPr>
          <a:r>
            <a:rPr lang="en-GB" sz="1000" b="0" kern="1200">
              <a:solidFill>
                <a:prstClr val="black"/>
              </a:solidFill>
            </a:rPr>
            <a:t>TTO</a:t>
          </a:r>
        </a:p>
      </xdr:txBody>
    </xdr:sp>
    <xdr:clientData/>
  </xdr:twoCellAnchor>
  <xdr:twoCellAnchor>
    <xdr:from>
      <xdr:col>14</xdr:col>
      <xdr:colOff>123825</xdr:colOff>
      <xdr:row>35</xdr:row>
      <xdr:rowOff>123825</xdr:rowOff>
    </xdr:from>
    <xdr:to>
      <xdr:col>15</xdr:col>
      <xdr:colOff>282027</xdr:colOff>
      <xdr:row>40</xdr:row>
      <xdr:rowOff>85725</xdr:rowOff>
    </xdr:to>
    <xdr:sp macro="" textlink="">
      <xdr:nvSpPr>
        <xdr:cNvPr id="38" name="Rectangle 37" descr="Hierarchy Level 2 Item 5">
          <a:extLst>
            <a:ext uri="{FF2B5EF4-FFF2-40B4-BE49-F238E27FC236}">
              <a16:creationId xmlns:a16="http://schemas.microsoft.com/office/drawing/2014/main" id="{BFCED386-3C5C-4C01-94B5-8E0690581CAC}"/>
            </a:ext>
          </a:extLst>
        </xdr:cNvPr>
        <xdr:cNvSpPr/>
      </xdr:nvSpPr>
      <xdr:spPr>
        <a:xfrm>
          <a:off x="8924925" y="6791325"/>
          <a:ext cx="786852" cy="91440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MDM</a:t>
          </a:r>
          <a:r>
            <a:rPr lang="en-GB" sz="1000" baseline="0">
              <a:solidFill>
                <a:prstClr val="black"/>
              </a:solidFill>
            </a:rPr>
            <a:t> 0.21 FTE SC4</a:t>
          </a:r>
        </a:p>
        <a:p>
          <a:pPr marL="0" lvl="0" indent="0" algn="ctr" defTabSz="577850" rtl="0">
            <a:lnSpc>
              <a:spcPct val="90000"/>
            </a:lnSpc>
            <a:spcBef>
              <a:spcPct val="0"/>
            </a:spcBef>
            <a:spcAft>
              <a:spcPct val="35000"/>
            </a:spcAft>
            <a:buNone/>
          </a:pPr>
          <a:r>
            <a:rPr lang="en-GB" sz="1000" baseline="0">
              <a:solidFill>
                <a:prstClr val="black"/>
              </a:solidFill>
            </a:rPr>
            <a:t>SEN allowance</a:t>
          </a:r>
        </a:p>
        <a:p>
          <a:pPr marL="0" lvl="0" indent="0" algn="ctr" defTabSz="577850" rtl="0">
            <a:lnSpc>
              <a:spcPct val="90000"/>
            </a:lnSpc>
            <a:spcBef>
              <a:spcPct val="0"/>
            </a:spcBef>
            <a:spcAft>
              <a:spcPct val="35000"/>
            </a:spcAft>
            <a:buNone/>
          </a:pPr>
          <a:r>
            <a:rPr lang="en-GB" sz="1000" baseline="0">
              <a:solidFill>
                <a:prstClr val="black"/>
              </a:solidFill>
            </a:rPr>
            <a:t>TTO</a:t>
          </a:r>
          <a:r>
            <a:rPr lang="en-GB" sz="1000">
              <a:solidFill>
                <a:prstClr val="black"/>
              </a:solidFill>
            </a:rPr>
            <a:t> </a:t>
          </a:r>
          <a:endParaRPr lang="en-GB" sz="1000" b="0" kern="1200">
            <a:solidFill>
              <a:prstClr val="black"/>
            </a:solidFill>
          </a:endParaRPr>
        </a:p>
      </xdr:txBody>
    </xdr:sp>
    <xdr:clientData/>
  </xdr:twoCellAnchor>
  <xdr:twoCellAnchor>
    <xdr:from>
      <xdr:col>15</xdr:col>
      <xdr:colOff>428625</xdr:colOff>
      <xdr:row>35</xdr:row>
      <xdr:rowOff>133350</xdr:rowOff>
    </xdr:from>
    <xdr:to>
      <xdr:col>16</xdr:col>
      <xdr:colOff>504825</xdr:colOff>
      <xdr:row>40</xdr:row>
      <xdr:rowOff>95250</xdr:rowOff>
    </xdr:to>
    <xdr:sp macro="" textlink="">
      <xdr:nvSpPr>
        <xdr:cNvPr id="39" name="Rectangle 38" descr="Hierarchy Level 2 Item 5">
          <a:extLst>
            <a:ext uri="{FF2B5EF4-FFF2-40B4-BE49-F238E27FC236}">
              <a16:creationId xmlns:a16="http://schemas.microsoft.com/office/drawing/2014/main" id="{AACEC147-3FB1-4E92-AFB9-32030B83DA99}"/>
            </a:ext>
          </a:extLst>
        </xdr:cNvPr>
        <xdr:cNvSpPr/>
      </xdr:nvSpPr>
      <xdr:spPr>
        <a:xfrm>
          <a:off x="9858375" y="6800850"/>
          <a:ext cx="704850" cy="91440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MDM/BC</a:t>
          </a:r>
          <a:r>
            <a:rPr lang="en-GB" sz="1000" baseline="0">
              <a:solidFill>
                <a:prstClr val="black"/>
              </a:solidFill>
            </a:rPr>
            <a:t> 0.29 FTE</a:t>
          </a:r>
          <a:r>
            <a:rPr lang="en-GB" sz="1000" b="0" kern="1200" baseline="0">
              <a:solidFill>
                <a:prstClr val="black"/>
              </a:solidFill>
            </a:rPr>
            <a:t> SC4</a:t>
          </a:r>
        </a:p>
        <a:p>
          <a:pPr marL="0" lvl="0" indent="0" algn="ctr" defTabSz="577850" rtl="0">
            <a:lnSpc>
              <a:spcPct val="90000"/>
            </a:lnSpc>
            <a:spcBef>
              <a:spcPct val="0"/>
            </a:spcBef>
            <a:spcAft>
              <a:spcPct val="35000"/>
            </a:spcAft>
            <a:buNone/>
          </a:pPr>
          <a:r>
            <a:rPr lang="en-GB" sz="1000" b="0" kern="1200" baseline="0">
              <a:solidFill>
                <a:prstClr val="black"/>
              </a:solidFill>
            </a:rPr>
            <a:t>TTO</a:t>
          </a:r>
          <a:endParaRPr lang="en-GB" sz="1000" baseline="0">
            <a:solidFill>
              <a:prstClr val="black"/>
            </a:solidFill>
          </a:endParaRPr>
        </a:p>
      </xdr:txBody>
    </xdr:sp>
    <xdr:clientData/>
  </xdr:twoCellAnchor>
  <xdr:twoCellAnchor>
    <xdr:from>
      <xdr:col>9</xdr:col>
      <xdr:colOff>457199</xdr:colOff>
      <xdr:row>35</xdr:row>
      <xdr:rowOff>142875</xdr:rowOff>
    </xdr:from>
    <xdr:to>
      <xdr:col>13</xdr:col>
      <xdr:colOff>276225</xdr:colOff>
      <xdr:row>40</xdr:row>
      <xdr:rowOff>9525</xdr:rowOff>
    </xdr:to>
    <xdr:sp macro="" textlink="">
      <xdr:nvSpPr>
        <xdr:cNvPr id="40" name="Rectangle 39" descr="Hierarchy Level 2 Item 5">
          <a:extLst>
            <a:ext uri="{FF2B5EF4-FFF2-40B4-BE49-F238E27FC236}">
              <a16:creationId xmlns:a16="http://schemas.microsoft.com/office/drawing/2014/main" id="{A0818C84-C1C4-4400-98D8-9CC7E75183AA}"/>
            </a:ext>
          </a:extLst>
        </xdr:cNvPr>
        <xdr:cNvSpPr/>
      </xdr:nvSpPr>
      <xdr:spPr>
        <a:xfrm>
          <a:off x="6115049" y="6810375"/>
          <a:ext cx="2333626" cy="81915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Extended</a:t>
          </a:r>
          <a:r>
            <a:rPr lang="en-GB" sz="1000" b="0" kern="1200" baseline="0">
              <a:solidFill>
                <a:prstClr val="black"/>
              </a:solidFill>
            </a:rPr>
            <a:t> Day Lead &amp; Learning Mentor 0.79 FTE SC6</a:t>
          </a:r>
        </a:p>
        <a:p>
          <a:pPr marL="0" lvl="0" indent="0" algn="ctr" defTabSz="577850" rtl="0">
            <a:lnSpc>
              <a:spcPct val="90000"/>
            </a:lnSpc>
            <a:spcBef>
              <a:spcPct val="0"/>
            </a:spcBef>
            <a:spcAft>
              <a:spcPct val="35000"/>
            </a:spcAft>
            <a:buNone/>
          </a:pPr>
          <a:r>
            <a:rPr lang="en-GB" sz="1000" b="0" kern="1200" baseline="0">
              <a:solidFill>
                <a:prstClr val="black"/>
              </a:solidFill>
            </a:rPr>
            <a:t>TTO</a:t>
          </a:r>
          <a:endParaRPr lang="en-GB" sz="1000" b="0" kern="1200">
            <a:solidFill>
              <a:prstClr val="black"/>
            </a:solidFill>
          </a:endParaRPr>
        </a:p>
      </xdr:txBody>
    </xdr:sp>
    <xdr:clientData/>
  </xdr:twoCellAnchor>
  <xdr:twoCellAnchor>
    <xdr:from>
      <xdr:col>4</xdr:col>
      <xdr:colOff>514350</xdr:colOff>
      <xdr:row>19</xdr:row>
      <xdr:rowOff>180975</xdr:rowOff>
    </xdr:from>
    <xdr:to>
      <xdr:col>6</xdr:col>
      <xdr:colOff>48115</xdr:colOff>
      <xdr:row>24</xdr:row>
      <xdr:rowOff>66675</xdr:rowOff>
    </xdr:to>
    <xdr:sp macro="" textlink="">
      <xdr:nvSpPr>
        <xdr:cNvPr id="41" name="Rectangle 40" descr="Hierarchy Level 2 Item 5">
          <a:extLst>
            <a:ext uri="{FF2B5EF4-FFF2-40B4-BE49-F238E27FC236}">
              <a16:creationId xmlns:a16="http://schemas.microsoft.com/office/drawing/2014/main" id="{91F3247D-7C51-47AE-8891-BD57437F051F}"/>
            </a:ext>
          </a:extLst>
        </xdr:cNvPr>
        <xdr:cNvSpPr/>
      </xdr:nvSpPr>
      <xdr:spPr>
        <a:xfrm>
          <a:off x="3028950" y="3800475"/>
          <a:ext cx="791065" cy="838200"/>
        </a:xfrm>
        <a:prstGeom prst="rect">
          <a:avLst/>
        </a:prstGeom>
        <a:solidFill>
          <a:srgbClr val="FFC00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EY Educator</a:t>
          </a:r>
        </a:p>
        <a:p>
          <a:pPr marL="0" lvl="0" indent="0" algn="ctr" defTabSz="577850" rtl="0">
            <a:lnSpc>
              <a:spcPct val="90000"/>
            </a:lnSpc>
            <a:spcBef>
              <a:spcPct val="0"/>
            </a:spcBef>
            <a:spcAft>
              <a:spcPct val="35000"/>
            </a:spcAft>
            <a:buNone/>
          </a:pPr>
          <a:r>
            <a:rPr lang="en-GB" sz="1000" b="0" kern="1200" baseline="0">
              <a:solidFill>
                <a:prstClr val="black"/>
              </a:solidFill>
            </a:rPr>
            <a:t>1FTE SC5 TTO</a:t>
          </a:r>
          <a:endParaRPr lang="en-GB" sz="1000" b="0" kern="1200">
            <a:solidFill>
              <a:prstClr val="black"/>
            </a:solidFill>
          </a:endParaRPr>
        </a:p>
      </xdr:txBody>
    </xdr:sp>
    <xdr:clientData/>
  </xdr:twoCellAnchor>
  <xdr:twoCellAnchor>
    <xdr:from>
      <xdr:col>0</xdr:col>
      <xdr:colOff>609600</xdr:colOff>
      <xdr:row>24</xdr:row>
      <xdr:rowOff>9526</xdr:rowOff>
    </xdr:from>
    <xdr:to>
      <xdr:col>2</xdr:col>
      <xdr:colOff>19049</xdr:colOff>
      <xdr:row>26</xdr:row>
      <xdr:rowOff>180976</xdr:rowOff>
    </xdr:to>
    <xdr:sp macro="" textlink="">
      <xdr:nvSpPr>
        <xdr:cNvPr id="42" name="Rectangle 41" descr="Hierarchy Sub Level">
          <a:extLst>
            <a:ext uri="{FF2B5EF4-FFF2-40B4-BE49-F238E27FC236}">
              <a16:creationId xmlns:a16="http://schemas.microsoft.com/office/drawing/2014/main" id="{84346C70-B25B-4F2F-B028-97F6E1A5F42A}"/>
            </a:ext>
          </a:extLst>
        </xdr:cNvPr>
        <xdr:cNvSpPr/>
      </xdr:nvSpPr>
      <xdr:spPr>
        <a:xfrm>
          <a:off x="609600" y="4581526"/>
          <a:ext cx="666749" cy="552450"/>
        </a:xfrm>
        <a:prstGeom prst="rect">
          <a:avLst/>
        </a:prstGeom>
        <a:solidFill>
          <a:schemeClr val="accent1">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PM SC5</a:t>
          </a:r>
          <a:r>
            <a:rPr lang="en-GB" sz="1000" baseline="0">
              <a:solidFill>
                <a:prstClr val="black"/>
              </a:solidFill>
            </a:rPr>
            <a:t> </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6</xdr:col>
      <xdr:colOff>85725</xdr:colOff>
      <xdr:row>24</xdr:row>
      <xdr:rowOff>161925</xdr:rowOff>
    </xdr:from>
    <xdr:to>
      <xdr:col>7</xdr:col>
      <xdr:colOff>158843</xdr:colOff>
      <xdr:row>28</xdr:row>
      <xdr:rowOff>133350</xdr:rowOff>
    </xdr:to>
    <xdr:sp macro="" textlink="">
      <xdr:nvSpPr>
        <xdr:cNvPr id="43" name="Rectangle 42" descr="Hierarchy Sub Level">
          <a:extLst>
            <a:ext uri="{FF2B5EF4-FFF2-40B4-BE49-F238E27FC236}">
              <a16:creationId xmlns:a16="http://schemas.microsoft.com/office/drawing/2014/main" id="{8384ADA3-1464-41D5-9DE2-6B774F577308}"/>
            </a:ext>
          </a:extLst>
        </xdr:cNvPr>
        <xdr:cNvSpPr/>
      </xdr:nvSpPr>
      <xdr:spPr>
        <a:xfrm>
          <a:off x="3857625" y="4733925"/>
          <a:ext cx="701768" cy="733425"/>
        </a:xfrm>
        <a:prstGeom prst="rect">
          <a:avLst/>
        </a:prstGeom>
        <a:solidFill>
          <a:srgbClr val="66FFFF"/>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Y1 SEN</a:t>
          </a:r>
        </a:p>
        <a:p>
          <a:pPr marL="0" lvl="0" indent="0" algn="ctr" defTabSz="577850" rtl="0">
            <a:lnSpc>
              <a:spcPct val="90000"/>
            </a:lnSpc>
            <a:spcBef>
              <a:spcPct val="0"/>
            </a:spcBef>
            <a:spcAft>
              <a:spcPct val="35000"/>
            </a:spcAft>
            <a:buNone/>
          </a:pPr>
          <a:r>
            <a:rPr lang="en-GB" sz="1000">
              <a:solidFill>
                <a:prstClr val="black"/>
              </a:solidFill>
            </a:rPr>
            <a:t>1TFE SC4</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a:solidFill>
                <a:prstClr val="black"/>
              </a:solidFill>
            </a:rPr>
            <a:t> </a:t>
          </a:r>
          <a:endParaRPr lang="en-GB" sz="1000" b="0" kern="1200">
            <a:solidFill>
              <a:prstClr val="black"/>
            </a:solidFill>
          </a:endParaRPr>
        </a:p>
      </xdr:txBody>
    </xdr:sp>
    <xdr:clientData/>
  </xdr:twoCellAnchor>
  <xdr:twoCellAnchor>
    <xdr:from>
      <xdr:col>11</xdr:col>
      <xdr:colOff>114300</xdr:colOff>
      <xdr:row>24</xdr:row>
      <xdr:rowOff>171450</xdr:rowOff>
    </xdr:from>
    <xdr:to>
      <xdr:col>12</xdr:col>
      <xdr:colOff>235043</xdr:colOff>
      <xdr:row>28</xdr:row>
      <xdr:rowOff>142875</xdr:rowOff>
    </xdr:to>
    <xdr:sp macro="" textlink="">
      <xdr:nvSpPr>
        <xdr:cNvPr id="44" name="Rectangle 43" descr="Hierarchy Sub Level">
          <a:extLst>
            <a:ext uri="{FF2B5EF4-FFF2-40B4-BE49-F238E27FC236}">
              <a16:creationId xmlns:a16="http://schemas.microsoft.com/office/drawing/2014/main" id="{329BDC91-AE19-4159-BEA5-9D55029325A0}"/>
            </a:ext>
          </a:extLst>
        </xdr:cNvPr>
        <xdr:cNvSpPr/>
      </xdr:nvSpPr>
      <xdr:spPr>
        <a:xfrm>
          <a:off x="7029450" y="4743450"/>
          <a:ext cx="749393" cy="733425"/>
        </a:xfrm>
        <a:prstGeom prst="rect">
          <a:avLst/>
        </a:prstGeom>
        <a:solidFill>
          <a:srgbClr val="66FFFF"/>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Y4/5/6 SEN</a:t>
          </a:r>
        </a:p>
        <a:p>
          <a:pPr marL="0" lvl="0" indent="0" algn="ctr" defTabSz="577850" rtl="0">
            <a:lnSpc>
              <a:spcPct val="90000"/>
            </a:lnSpc>
            <a:spcBef>
              <a:spcPct val="0"/>
            </a:spcBef>
            <a:spcAft>
              <a:spcPct val="35000"/>
            </a:spcAft>
            <a:buNone/>
          </a:pPr>
          <a:r>
            <a:rPr lang="en-GB" sz="1000">
              <a:solidFill>
                <a:prstClr val="black"/>
              </a:solidFill>
            </a:rPr>
            <a:t>1TFE SC4</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a:solidFill>
                <a:prstClr val="black"/>
              </a:solidFill>
            </a:rPr>
            <a:t> </a:t>
          </a:r>
          <a:endParaRPr lang="en-GB" sz="1000" b="0" kern="1200">
            <a:solidFill>
              <a:prstClr val="black"/>
            </a:solidFill>
          </a:endParaRPr>
        </a:p>
      </xdr:txBody>
    </xdr:sp>
    <xdr:clientData/>
  </xdr:twoCellAnchor>
  <xdr:twoCellAnchor>
    <xdr:from>
      <xdr:col>15</xdr:col>
      <xdr:colOff>542926</xdr:colOff>
      <xdr:row>15</xdr:row>
      <xdr:rowOff>47625</xdr:rowOff>
    </xdr:from>
    <xdr:to>
      <xdr:col>17</xdr:col>
      <xdr:colOff>95250</xdr:colOff>
      <xdr:row>19</xdr:row>
      <xdr:rowOff>95250</xdr:rowOff>
    </xdr:to>
    <xdr:sp macro="" textlink="">
      <xdr:nvSpPr>
        <xdr:cNvPr id="45" name="Rectangle 44" descr="Hierarchy Level 2 Item 5">
          <a:extLst>
            <a:ext uri="{FF2B5EF4-FFF2-40B4-BE49-F238E27FC236}">
              <a16:creationId xmlns:a16="http://schemas.microsoft.com/office/drawing/2014/main" id="{957C377A-FDDF-41C2-8248-FCA6142D1B39}"/>
            </a:ext>
          </a:extLst>
        </xdr:cNvPr>
        <xdr:cNvSpPr/>
      </xdr:nvSpPr>
      <xdr:spPr>
        <a:xfrm>
          <a:off x="9972676" y="2905125"/>
          <a:ext cx="809624" cy="809625"/>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Room</a:t>
          </a:r>
          <a:r>
            <a:rPr lang="en-GB" sz="1000" b="0" kern="1200" baseline="0">
              <a:solidFill>
                <a:prstClr val="black"/>
              </a:solidFill>
            </a:rPr>
            <a:t> Lead 1 FTE SC6</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14</xdr:col>
      <xdr:colOff>257175</xdr:colOff>
      <xdr:row>15</xdr:row>
      <xdr:rowOff>53005</xdr:rowOff>
    </xdr:from>
    <xdr:to>
      <xdr:col>15</xdr:col>
      <xdr:colOff>371474</xdr:colOff>
      <xdr:row>19</xdr:row>
      <xdr:rowOff>114300</xdr:rowOff>
    </xdr:to>
    <xdr:sp macro="" textlink="">
      <xdr:nvSpPr>
        <xdr:cNvPr id="46" name="Rectangle 45" descr="Hierarchy Level 2 Item 5">
          <a:extLst>
            <a:ext uri="{FF2B5EF4-FFF2-40B4-BE49-F238E27FC236}">
              <a16:creationId xmlns:a16="http://schemas.microsoft.com/office/drawing/2014/main" id="{70FD6911-2698-4FB9-9592-A6DF148AB1B1}"/>
            </a:ext>
          </a:extLst>
        </xdr:cNvPr>
        <xdr:cNvSpPr/>
      </xdr:nvSpPr>
      <xdr:spPr>
        <a:xfrm>
          <a:off x="9058275" y="2910505"/>
          <a:ext cx="742949" cy="823295"/>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Early Years Educator</a:t>
          </a:r>
        </a:p>
        <a:p>
          <a:pPr marL="0" lvl="0" indent="0" algn="ctr" defTabSz="577850" rtl="0">
            <a:lnSpc>
              <a:spcPct val="90000"/>
            </a:lnSpc>
            <a:spcBef>
              <a:spcPct val="0"/>
            </a:spcBef>
            <a:spcAft>
              <a:spcPct val="35000"/>
            </a:spcAft>
            <a:buNone/>
          </a:pPr>
          <a:r>
            <a:rPr lang="en-GB" sz="1000">
              <a:solidFill>
                <a:prstClr val="black"/>
              </a:solidFill>
            </a:rPr>
            <a:t>1 FTE SC5</a:t>
          </a:r>
        </a:p>
        <a:p>
          <a:pPr marL="0" lvl="0" indent="0" algn="ctr" defTabSz="577850" rtl="0">
            <a:lnSpc>
              <a:spcPct val="90000"/>
            </a:lnSpc>
            <a:spcBef>
              <a:spcPct val="0"/>
            </a:spcBef>
            <a:spcAft>
              <a:spcPct val="35000"/>
            </a:spcAft>
            <a:buNone/>
          </a:pPr>
          <a:r>
            <a:rPr lang="en-GB" sz="1000">
              <a:solidFill>
                <a:prstClr val="black"/>
              </a:solidFill>
            </a:rPr>
            <a:t>AYR</a:t>
          </a:r>
        </a:p>
        <a:p>
          <a:pPr marL="0" lvl="0" indent="0" algn="ctr" defTabSz="577850" rtl="0">
            <a:lnSpc>
              <a:spcPct val="90000"/>
            </a:lnSpc>
            <a:spcBef>
              <a:spcPct val="0"/>
            </a:spcBef>
            <a:spcAft>
              <a:spcPct val="35000"/>
            </a:spcAft>
            <a:buNone/>
          </a:pPr>
          <a:r>
            <a:rPr lang="en-GB" sz="1000">
              <a:solidFill>
                <a:prstClr val="black"/>
              </a:solidFill>
            </a:rPr>
            <a:t> </a:t>
          </a:r>
          <a:endParaRPr lang="en-GB" sz="1000" b="0" kern="1200">
            <a:solidFill>
              <a:prstClr val="black"/>
            </a:solidFill>
          </a:endParaRPr>
        </a:p>
      </xdr:txBody>
    </xdr:sp>
    <xdr:clientData/>
  </xdr:twoCellAnchor>
  <xdr:twoCellAnchor>
    <xdr:from>
      <xdr:col>15</xdr:col>
      <xdr:colOff>590550</xdr:colOff>
      <xdr:row>19</xdr:row>
      <xdr:rowOff>171449</xdr:rowOff>
    </xdr:from>
    <xdr:to>
      <xdr:col>17</xdr:col>
      <xdr:colOff>142875</xdr:colOff>
      <xdr:row>24</xdr:row>
      <xdr:rowOff>123824</xdr:rowOff>
    </xdr:to>
    <xdr:sp macro="" textlink="">
      <xdr:nvSpPr>
        <xdr:cNvPr id="47" name="Rectangle 46" descr="Hierarchy Level 2 Item 5">
          <a:extLst>
            <a:ext uri="{FF2B5EF4-FFF2-40B4-BE49-F238E27FC236}">
              <a16:creationId xmlns:a16="http://schemas.microsoft.com/office/drawing/2014/main" id="{60AF2A5C-5A2B-4360-A9D2-67DAF9C63C55}"/>
            </a:ext>
          </a:extLst>
        </xdr:cNvPr>
        <xdr:cNvSpPr/>
      </xdr:nvSpPr>
      <xdr:spPr>
        <a:xfrm>
          <a:off x="10020300" y="3790949"/>
          <a:ext cx="809625" cy="904875"/>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Early</a:t>
          </a:r>
          <a:r>
            <a:rPr lang="en-GB" sz="1000" baseline="0">
              <a:solidFill>
                <a:prstClr val="black"/>
              </a:solidFill>
            </a:rPr>
            <a:t> Years Educator</a:t>
          </a:r>
        </a:p>
        <a:p>
          <a:pPr marL="0" lvl="0" indent="0" algn="ctr" defTabSz="577850" rtl="0">
            <a:lnSpc>
              <a:spcPct val="90000"/>
            </a:lnSpc>
            <a:spcBef>
              <a:spcPct val="0"/>
            </a:spcBef>
            <a:spcAft>
              <a:spcPct val="35000"/>
            </a:spcAft>
            <a:buNone/>
          </a:pPr>
          <a:r>
            <a:rPr lang="en-GB" sz="1000" b="1" baseline="0">
              <a:solidFill>
                <a:prstClr val="black"/>
              </a:solidFill>
            </a:rPr>
            <a:t>VACANCY</a:t>
          </a:r>
        </a:p>
        <a:p>
          <a:pPr marL="0" lvl="0" indent="0" algn="ctr" defTabSz="577850" rtl="0">
            <a:lnSpc>
              <a:spcPct val="90000"/>
            </a:lnSpc>
            <a:spcBef>
              <a:spcPct val="0"/>
            </a:spcBef>
            <a:spcAft>
              <a:spcPct val="35000"/>
            </a:spcAft>
            <a:buNone/>
          </a:pPr>
          <a:r>
            <a:rPr lang="en-GB" sz="1000" b="0" kern="1200" baseline="0">
              <a:solidFill>
                <a:prstClr val="black"/>
              </a:solidFill>
            </a:rPr>
            <a:t>1 FTE SC3</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14</xdr:col>
      <xdr:colOff>257174</xdr:colOff>
      <xdr:row>25</xdr:row>
      <xdr:rowOff>19051</xdr:rowOff>
    </xdr:from>
    <xdr:to>
      <xdr:col>15</xdr:col>
      <xdr:colOff>419099</xdr:colOff>
      <xdr:row>29</xdr:row>
      <xdr:rowOff>133350</xdr:rowOff>
    </xdr:to>
    <xdr:sp macro="" textlink="">
      <xdr:nvSpPr>
        <xdr:cNvPr id="48" name="Rectangle 47" descr="Hierarchy Level 2 Item 5">
          <a:extLst>
            <a:ext uri="{FF2B5EF4-FFF2-40B4-BE49-F238E27FC236}">
              <a16:creationId xmlns:a16="http://schemas.microsoft.com/office/drawing/2014/main" id="{45A6F2C9-A3B3-40AC-A9FF-B7CBEBD80A2A}"/>
            </a:ext>
          </a:extLst>
        </xdr:cNvPr>
        <xdr:cNvSpPr/>
      </xdr:nvSpPr>
      <xdr:spPr>
        <a:xfrm>
          <a:off x="9058274" y="4781551"/>
          <a:ext cx="790575" cy="876299"/>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Early Years Educator</a:t>
          </a:r>
        </a:p>
        <a:p>
          <a:pPr marL="0" lvl="0" indent="0" algn="ctr" defTabSz="577850" rtl="0">
            <a:lnSpc>
              <a:spcPct val="90000"/>
            </a:lnSpc>
            <a:spcBef>
              <a:spcPct val="0"/>
            </a:spcBef>
            <a:spcAft>
              <a:spcPct val="35000"/>
            </a:spcAft>
            <a:buNone/>
          </a:pPr>
          <a:r>
            <a:rPr lang="en-GB" sz="1000" b="0" kern="1200">
              <a:solidFill>
                <a:prstClr val="black"/>
              </a:solidFill>
            </a:rPr>
            <a:t>1 FTE SC5</a:t>
          </a:r>
        </a:p>
        <a:p>
          <a:pPr marL="0" lvl="0" indent="0" algn="ctr" defTabSz="577850" rtl="0">
            <a:lnSpc>
              <a:spcPct val="90000"/>
            </a:lnSpc>
            <a:spcBef>
              <a:spcPct val="0"/>
            </a:spcBef>
            <a:spcAft>
              <a:spcPct val="35000"/>
            </a:spcAft>
            <a:buNone/>
          </a:pPr>
          <a:r>
            <a:rPr lang="en-GB" sz="1000" b="0" kern="1200">
              <a:solidFill>
                <a:prstClr val="black"/>
              </a:solidFill>
            </a:rPr>
            <a:t>TTO</a:t>
          </a:r>
        </a:p>
      </xdr:txBody>
    </xdr:sp>
    <xdr:clientData/>
  </xdr:twoCellAnchor>
  <xdr:twoCellAnchor>
    <xdr:from>
      <xdr:col>15</xdr:col>
      <xdr:colOff>590549</xdr:colOff>
      <xdr:row>25</xdr:row>
      <xdr:rowOff>19051</xdr:rowOff>
    </xdr:from>
    <xdr:to>
      <xdr:col>17</xdr:col>
      <xdr:colOff>133350</xdr:colOff>
      <xdr:row>29</xdr:row>
      <xdr:rowOff>142875</xdr:rowOff>
    </xdr:to>
    <xdr:sp macro="" textlink="">
      <xdr:nvSpPr>
        <xdr:cNvPr id="49" name="Rectangle 48" descr="Hierarchy Level 2 Item 5">
          <a:extLst>
            <a:ext uri="{FF2B5EF4-FFF2-40B4-BE49-F238E27FC236}">
              <a16:creationId xmlns:a16="http://schemas.microsoft.com/office/drawing/2014/main" id="{7AC83504-A8E2-4CAB-B308-D574890A2366}"/>
            </a:ext>
          </a:extLst>
        </xdr:cNvPr>
        <xdr:cNvSpPr/>
      </xdr:nvSpPr>
      <xdr:spPr>
        <a:xfrm>
          <a:off x="10020299" y="4781551"/>
          <a:ext cx="800101" cy="885824"/>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Early Years Educator</a:t>
          </a:r>
        </a:p>
        <a:p>
          <a:pPr marL="0" lvl="0" indent="0" algn="ctr" defTabSz="577850" rtl="0">
            <a:lnSpc>
              <a:spcPct val="90000"/>
            </a:lnSpc>
            <a:spcBef>
              <a:spcPct val="0"/>
            </a:spcBef>
            <a:spcAft>
              <a:spcPct val="35000"/>
            </a:spcAft>
            <a:buNone/>
          </a:pPr>
          <a:r>
            <a:rPr lang="en-GB" sz="1000">
              <a:solidFill>
                <a:prstClr val="black"/>
              </a:solidFill>
            </a:rPr>
            <a:t>0.86 FTE SC2</a:t>
          </a:r>
        </a:p>
        <a:p>
          <a:pPr marL="0" lvl="0" indent="0" algn="ctr" defTabSz="577850" rtl="0">
            <a:lnSpc>
              <a:spcPct val="90000"/>
            </a:lnSpc>
            <a:spcBef>
              <a:spcPct val="0"/>
            </a:spcBef>
            <a:spcAft>
              <a:spcPct val="35000"/>
            </a:spcAft>
            <a:buNone/>
          </a:pPr>
          <a:r>
            <a:rPr lang="en-GB" sz="1000">
              <a:solidFill>
                <a:prstClr val="black"/>
              </a:solidFill>
            </a:rPr>
            <a:t>TTO </a:t>
          </a:r>
          <a:endParaRPr lang="en-GB" sz="1000" b="0" kern="1200">
            <a:solidFill>
              <a:prstClr val="black"/>
            </a:solidFill>
          </a:endParaRPr>
        </a:p>
      </xdr:txBody>
    </xdr:sp>
    <xdr:clientData/>
  </xdr:twoCellAnchor>
  <xdr:twoCellAnchor>
    <xdr:from>
      <xdr:col>11</xdr:col>
      <xdr:colOff>447675</xdr:colOff>
      <xdr:row>40</xdr:row>
      <xdr:rowOff>133350</xdr:rowOff>
    </xdr:from>
    <xdr:to>
      <xdr:col>13</xdr:col>
      <xdr:colOff>285750</xdr:colOff>
      <xdr:row>43</xdr:row>
      <xdr:rowOff>152400</xdr:rowOff>
    </xdr:to>
    <xdr:sp macro="" textlink="">
      <xdr:nvSpPr>
        <xdr:cNvPr id="50" name="Rectangle 49" descr="Hierarchy Level 2 Item 5">
          <a:extLst>
            <a:ext uri="{FF2B5EF4-FFF2-40B4-BE49-F238E27FC236}">
              <a16:creationId xmlns:a16="http://schemas.microsoft.com/office/drawing/2014/main" id="{6221D612-45C9-4652-AD32-2259438389E2}"/>
            </a:ext>
          </a:extLst>
        </xdr:cNvPr>
        <xdr:cNvSpPr/>
      </xdr:nvSpPr>
      <xdr:spPr>
        <a:xfrm>
          <a:off x="7362825" y="7753350"/>
          <a:ext cx="1095375" cy="59055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BC 0.14 FTE SC4</a:t>
          </a:r>
          <a:r>
            <a:rPr lang="en-GB" sz="1000" baseline="0">
              <a:solidFill>
                <a:prstClr val="black"/>
              </a:solidFill>
            </a:rPr>
            <a:t> </a:t>
          </a:r>
          <a:r>
            <a:rPr lang="en-GB" sz="1000">
              <a:solidFill>
                <a:prstClr val="black"/>
              </a:solidFill>
            </a:rPr>
            <a:t> </a:t>
          </a:r>
        </a:p>
        <a:p>
          <a:pPr marL="0" lvl="0" indent="0" algn="ctr" defTabSz="577850" rtl="0">
            <a:lnSpc>
              <a:spcPct val="90000"/>
            </a:lnSpc>
            <a:spcBef>
              <a:spcPct val="0"/>
            </a:spcBef>
            <a:spcAft>
              <a:spcPct val="35000"/>
            </a:spcAft>
            <a:buNone/>
          </a:pPr>
          <a:r>
            <a:rPr lang="en-GB" sz="1000" b="0" kern="1200">
              <a:solidFill>
                <a:prstClr val="black"/>
              </a:solidFill>
            </a:rPr>
            <a:t>TTO</a:t>
          </a:r>
        </a:p>
      </xdr:txBody>
    </xdr:sp>
    <xdr:clientData/>
  </xdr:twoCellAnchor>
  <xdr:twoCellAnchor>
    <xdr:from>
      <xdr:col>6</xdr:col>
      <xdr:colOff>47625</xdr:colOff>
      <xdr:row>29</xdr:row>
      <xdr:rowOff>9524</xdr:rowOff>
    </xdr:from>
    <xdr:to>
      <xdr:col>13</xdr:col>
      <xdr:colOff>95250</xdr:colOff>
      <xdr:row>30</xdr:row>
      <xdr:rowOff>114300</xdr:rowOff>
    </xdr:to>
    <xdr:sp macro="" textlink="">
      <xdr:nvSpPr>
        <xdr:cNvPr id="51" name="Rectangle 50" descr="Hierarchy Sub Level">
          <a:extLst>
            <a:ext uri="{FF2B5EF4-FFF2-40B4-BE49-F238E27FC236}">
              <a16:creationId xmlns:a16="http://schemas.microsoft.com/office/drawing/2014/main" id="{FA01D090-C8D2-4F32-9CF4-85256392756F}"/>
            </a:ext>
          </a:extLst>
        </xdr:cNvPr>
        <xdr:cNvSpPr/>
      </xdr:nvSpPr>
      <xdr:spPr>
        <a:xfrm>
          <a:off x="3819525" y="5534024"/>
          <a:ext cx="4448175" cy="295276"/>
        </a:xfrm>
        <a:prstGeom prst="rect">
          <a:avLst/>
        </a:prstGeom>
        <a:solidFill>
          <a:srgbClr val="66FFFF"/>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endParaRPr lang="en-GB" sz="1000">
            <a:solidFill>
              <a:prstClr val="black"/>
            </a:solidFill>
          </a:endParaRPr>
        </a:p>
        <a:p>
          <a:pPr marL="0" lvl="0" indent="0" algn="ctr" defTabSz="577850" rtl="0">
            <a:lnSpc>
              <a:spcPct val="90000"/>
            </a:lnSpc>
            <a:spcBef>
              <a:spcPct val="0"/>
            </a:spcBef>
            <a:spcAft>
              <a:spcPct val="35000"/>
            </a:spcAft>
            <a:buNone/>
          </a:pPr>
          <a:r>
            <a:rPr lang="en-GB" sz="1000">
              <a:solidFill>
                <a:prstClr val="black"/>
              </a:solidFill>
            </a:rPr>
            <a:t>SEN TA 0.8</a:t>
          </a:r>
          <a:r>
            <a:rPr lang="en-GB" sz="1000" baseline="0">
              <a:solidFill>
                <a:prstClr val="black"/>
              </a:solidFill>
            </a:rPr>
            <a:t> FT</a:t>
          </a:r>
          <a:r>
            <a:rPr lang="en-GB" sz="1000">
              <a:solidFill>
                <a:prstClr val="black"/>
              </a:solidFill>
            </a:rPr>
            <a:t>E SC4</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a:solidFill>
                <a:prstClr val="black"/>
              </a:solidFill>
            </a:rPr>
            <a:t> </a:t>
          </a:r>
          <a:endParaRPr lang="en-GB" sz="1000" b="0" kern="1200">
            <a:solidFill>
              <a:prstClr val="black"/>
            </a:solidFill>
          </a:endParaRPr>
        </a:p>
      </xdr:txBody>
    </xdr:sp>
    <xdr:clientData/>
  </xdr:twoCellAnchor>
  <xdr:twoCellAnchor>
    <xdr:from>
      <xdr:col>7</xdr:col>
      <xdr:colOff>295276</xdr:colOff>
      <xdr:row>24</xdr:row>
      <xdr:rowOff>159747</xdr:rowOff>
    </xdr:from>
    <xdr:to>
      <xdr:col>8</xdr:col>
      <xdr:colOff>361950</xdr:colOff>
      <xdr:row>28</xdr:row>
      <xdr:rowOff>142875</xdr:rowOff>
    </xdr:to>
    <xdr:sp macro="" textlink="">
      <xdr:nvSpPr>
        <xdr:cNvPr id="52" name="Rectangle 51" descr="Hierarchy Sub Level">
          <a:extLst>
            <a:ext uri="{FF2B5EF4-FFF2-40B4-BE49-F238E27FC236}">
              <a16:creationId xmlns:a16="http://schemas.microsoft.com/office/drawing/2014/main" id="{D4D7166D-880B-4061-8FEB-50CCEE1D599F}"/>
            </a:ext>
          </a:extLst>
        </xdr:cNvPr>
        <xdr:cNvSpPr/>
      </xdr:nvSpPr>
      <xdr:spPr>
        <a:xfrm>
          <a:off x="4695826" y="4731747"/>
          <a:ext cx="695324" cy="745128"/>
        </a:xfrm>
        <a:prstGeom prst="rect">
          <a:avLst/>
        </a:prstGeom>
        <a:solidFill>
          <a:srgbClr val="FFCCCC"/>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SEN</a:t>
          </a:r>
        </a:p>
        <a:p>
          <a:pPr marL="0" lvl="0" indent="0" algn="ctr" defTabSz="577850" rtl="0">
            <a:lnSpc>
              <a:spcPct val="90000"/>
            </a:lnSpc>
            <a:spcBef>
              <a:spcPct val="0"/>
            </a:spcBef>
            <a:spcAft>
              <a:spcPct val="35000"/>
            </a:spcAft>
            <a:buNone/>
          </a:pPr>
          <a:r>
            <a:rPr lang="en-GB" sz="1000" baseline="0">
              <a:solidFill>
                <a:prstClr val="black"/>
              </a:solidFill>
            </a:rPr>
            <a:t>1 FT</a:t>
          </a:r>
          <a:r>
            <a:rPr lang="en-GB" sz="1000">
              <a:solidFill>
                <a:prstClr val="black"/>
              </a:solidFill>
            </a:rPr>
            <a:t>E </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b="1">
              <a:solidFill>
                <a:prstClr val="black"/>
              </a:solidFill>
            </a:rPr>
            <a:t>AGENCY</a:t>
          </a:r>
          <a:r>
            <a:rPr lang="en-GB" sz="1000">
              <a:solidFill>
                <a:prstClr val="black"/>
              </a:solidFill>
            </a:rPr>
            <a:t> </a:t>
          </a:r>
          <a:endParaRPr lang="en-GB" sz="1000" b="0" kern="1200">
            <a:solidFill>
              <a:prstClr val="black"/>
            </a:solidFill>
          </a:endParaRPr>
        </a:p>
      </xdr:txBody>
    </xdr:sp>
    <xdr:clientData/>
  </xdr:twoCellAnchor>
  <xdr:twoCellAnchor>
    <xdr:from>
      <xdr:col>4</xdr:col>
      <xdr:colOff>485775</xdr:colOff>
      <xdr:row>24</xdr:row>
      <xdr:rowOff>133351</xdr:rowOff>
    </xdr:from>
    <xdr:to>
      <xdr:col>5</xdr:col>
      <xdr:colOff>571500</xdr:colOff>
      <xdr:row>28</xdr:row>
      <xdr:rowOff>171451</xdr:rowOff>
    </xdr:to>
    <xdr:sp macro="" textlink="">
      <xdr:nvSpPr>
        <xdr:cNvPr id="53" name="Rectangle 52" descr="Hierarchy Sub Level">
          <a:extLst>
            <a:ext uri="{FF2B5EF4-FFF2-40B4-BE49-F238E27FC236}">
              <a16:creationId xmlns:a16="http://schemas.microsoft.com/office/drawing/2014/main" id="{AB098D04-A06A-46FA-9F77-A1446DCC0373}"/>
            </a:ext>
          </a:extLst>
        </xdr:cNvPr>
        <xdr:cNvSpPr/>
      </xdr:nvSpPr>
      <xdr:spPr>
        <a:xfrm>
          <a:off x="3000375" y="4705351"/>
          <a:ext cx="714375" cy="800100"/>
        </a:xfrm>
        <a:prstGeom prst="rect">
          <a:avLst/>
        </a:prstGeom>
        <a:solidFill>
          <a:srgbClr val="FFCCCC"/>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SEN</a:t>
          </a:r>
        </a:p>
        <a:p>
          <a:pPr marL="0" lvl="0" indent="0" algn="ctr" defTabSz="577850" rtl="0">
            <a:lnSpc>
              <a:spcPct val="90000"/>
            </a:lnSpc>
            <a:spcBef>
              <a:spcPct val="0"/>
            </a:spcBef>
            <a:spcAft>
              <a:spcPct val="35000"/>
            </a:spcAft>
            <a:buNone/>
          </a:pPr>
          <a:r>
            <a:rPr lang="en-GB" sz="1000" baseline="0">
              <a:solidFill>
                <a:prstClr val="black"/>
              </a:solidFill>
            </a:rPr>
            <a:t>1 FT</a:t>
          </a:r>
          <a:r>
            <a:rPr lang="en-GB" sz="1000">
              <a:solidFill>
                <a:prstClr val="black"/>
              </a:solidFill>
            </a:rPr>
            <a:t>E </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b="1">
              <a:solidFill>
                <a:prstClr val="black"/>
              </a:solidFill>
            </a:rPr>
            <a:t>AGENCY</a:t>
          </a:r>
          <a:r>
            <a:rPr lang="en-GB" sz="1000">
              <a:solidFill>
                <a:prstClr val="black"/>
              </a:solidFill>
            </a:rPr>
            <a:t> </a:t>
          </a:r>
          <a:endParaRPr lang="en-GB" sz="1000" b="0" kern="1200">
            <a:solidFill>
              <a:prstClr val="black"/>
            </a:solidFill>
          </a:endParaRPr>
        </a:p>
      </xdr:txBody>
    </xdr:sp>
    <xdr:clientData/>
  </xdr:twoCellAnchor>
  <xdr:twoCellAnchor>
    <xdr:from>
      <xdr:col>14</xdr:col>
      <xdr:colOff>257175</xdr:colOff>
      <xdr:row>20</xdr:row>
      <xdr:rowOff>0</xdr:rowOff>
    </xdr:from>
    <xdr:to>
      <xdr:col>15</xdr:col>
      <xdr:colOff>419100</xdr:colOff>
      <xdr:row>24</xdr:row>
      <xdr:rowOff>133350</xdr:rowOff>
    </xdr:to>
    <xdr:sp macro="" textlink="">
      <xdr:nvSpPr>
        <xdr:cNvPr id="54" name="Rectangle 53" descr="Hierarchy Level 2 Item 5">
          <a:extLst>
            <a:ext uri="{FF2B5EF4-FFF2-40B4-BE49-F238E27FC236}">
              <a16:creationId xmlns:a16="http://schemas.microsoft.com/office/drawing/2014/main" id="{F841FA26-F749-44DD-8E2F-BF56E1507534}"/>
            </a:ext>
          </a:extLst>
        </xdr:cNvPr>
        <xdr:cNvSpPr/>
      </xdr:nvSpPr>
      <xdr:spPr>
        <a:xfrm>
          <a:off x="9058275" y="3810000"/>
          <a:ext cx="790575" cy="895350"/>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Early</a:t>
          </a:r>
          <a:r>
            <a:rPr lang="en-GB" sz="1000" baseline="0">
              <a:solidFill>
                <a:prstClr val="black"/>
              </a:solidFill>
            </a:rPr>
            <a:t> Years Educator</a:t>
          </a:r>
        </a:p>
        <a:p>
          <a:pPr marL="0" lvl="0" indent="0" algn="ctr" defTabSz="577850" rtl="0">
            <a:lnSpc>
              <a:spcPct val="90000"/>
            </a:lnSpc>
            <a:spcBef>
              <a:spcPct val="0"/>
            </a:spcBef>
            <a:spcAft>
              <a:spcPct val="35000"/>
            </a:spcAft>
            <a:buNone/>
          </a:pPr>
          <a:r>
            <a:rPr lang="en-GB" sz="1000" b="0" kern="1200" baseline="0">
              <a:solidFill>
                <a:prstClr val="black"/>
              </a:solidFill>
            </a:rPr>
            <a:t>1 FTE SC3</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8</xdr:col>
      <xdr:colOff>447676</xdr:colOff>
      <xdr:row>24</xdr:row>
      <xdr:rowOff>161925</xdr:rowOff>
    </xdr:from>
    <xdr:to>
      <xdr:col>9</xdr:col>
      <xdr:colOff>476251</xdr:colOff>
      <xdr:row>28</xdr:row>
      <xdr:rowOff>145053</xdr:rowOff>
    </xdr:to>
    <xdr:sp macro="" textlink="">
      <xdr:nvSpPr>
        <xdr:cNvPr id="55" name="Rectangle 54" descr="Hierarchy Sub Level">
          <a:extLst>
            <a:ext uri="{FF2B5EF4-FFF2-40B4-BE49-F238E27FC236}">
              <a16:creationId xmlns:a16="http://schemas.microsoft.com/office/drawing/2014/main" id="{CA2D2233-8080-4E1C-A6F1-8B8A1F63E763}"/>
            </a:ext>
          </a:extLst>
        </xdr:cNvPr>
        <xdr:cNvSpPr/>
      </xdr:nvSpPr>
      <xdr:spPr>
        <a:xfrm>
          <a:off x="5476876" y="4733925"/>
          <a:ext cx="657225" cy="745128"/>
        </a:xfrm>
        <a:prstGeom prst="rect">
          <a:avLst/>
        </a:prstGeom>
        <a:solidFill>
          <a:srgbClr val="FFCCCC"/>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SEN</a:t>
          </a:r>
        </a:p>
        <a:p>
          <a:pPr marL="0" lvl="0" indent="0" algn="ctr" defTabSz="577850" rtl="0">
            <a:lnSpc>
              <a:spcPct val="90000"/>
            </a:lnSpc>
            <a:spcBef>
              <a:spcPct val="0"/>
            </a:spcBef>
            <a:spcAft>
              <a:spcPct val="35000"/>
            </a:spcAft>
            <a:buNone/>
          </a:pPr>
          <a:r>
            <a:rPr lang="en-GB" sz="1000" baseline="0">
              <a:solidFill>
                <a:prstClr val="black"/>
              </a:solidFill>
            </a:rPr>
            <a:t>1 FT</a:t>
          </a:r>
          <a:r>
            <a:rPr lang="en-GB" sz="1000">
              <a:solidFill>
                <a:prstClr val="black"/>
              </a:solidFill>
            </a:rPr>
            <a:t>E </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b="1">
              <a:solidFill>
                <a:prstClr val="black"/>
              </a:solidFill>
            </a:rPr>
            <a:t>AGENCY</a:t>
          </a:r>
          <a:r>
            <a:rPr lang="en-GB" sz="1000">
              <a:solidFill>
                <a:prstClr val="black"/>
              </a:solidFill>
            </a:rPr>
            <a:t> </a:t>
          </a:r>
          <a:endParaRPr lang="en-GB" sz="1000" b="0" kern="1200">
            <a:solidFill>
              <a:prstClr val="black"/>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573060</xdr:colOff>
      <xdr:row>0</xdr:row>
      <xdr:rowOff>139701</xdr:rowOff>
    </xdr:from>
    <xdr:to>
      <xdr:col>6</xdr:col>
      <xdr:colOff>304800</xdr:colOff>
      <xdr:row>4</xdr:row>
      <xdr:rowOff>1</xdr:rowOff>
    </xdr:to>
    <xdr:sp macro="" textlink="">
      <xdr:nvSpPr>
        <xdr:cNvPr id="2" name="Title 3">
          <a:extLst>
            <a:ext uri="{FF2B5EF4-FFF2-40B4-BE49-F238E27FC236}">
              <a16:creationId xmlns:a16="http://schemas.microsoft.com/office/drawing/2014/main" id="{29BC2950-CB4B-446C-B9FB-8DAB70B9EA8E}"/>
            </a:ext>
          </a:extLst>
        </xdr:cNvPr>
        <xdr:cNvSpPr>
          <a:spLocks noGrp="1"/>
        </xdr:cNvSpPr>
      </xdr:nvSpPr>
      <xdr:spPr>
        <a:xfrm>
          <a:off x="1830360" y="139701"/>
          <a:ext cx="2246340" cy="431800"/>
        </a:xfrm>
        <a:prstGeom prst="rect">
          <a:avLst/>
        </a:prstGeom>
      </xdr:spPr>
      <xdr:txBody>
        <a:bodyPr vert="horz" wrap="square" lIns="0" tIns="0" rIns="0" bIns="0" rtlCol="0" anchor="ctr">
          <a:noAutofit/>
        </a:bodyPr>
        <a:lstStyle>
          <a:lvl1pPr algn="l" defTabSz="914400" rtl="0" eaLnBrk="1" latinLnBrk="0" hangingPunct="1">
            <a:lnSpc>
              <a:spcPct val="80000"/>
            </a:lnSpc>
            <a:spcBef>
              <a:spcPct val="0"/>
            </a:spcBef>
            <a:buNone/>
            <a:defRPr sz="5000" kern="1200" cap="all" spc="100" baseline="0">
              <a:solidFill>
                <a:sysClr val="windowText" lastClr="000000">
                  <a:lumMod val="95000"/>
                  <a:lumOff val="5000"/>
                </a:sysClr>
              </a:solidFill>
              <a:latin typeface="Tw Cen MT Condensed" panose="020B0606020104020203"/>
            </a:defRPr>
          </a:lvl1pPr>
        </a:lstStyle>
        <a:p>
          <a:pPr rtl="0"/>
          <a:r>
            <a:rPr lang="en-GB" sz="1600" spc="-150"/>
            <a:t> </a:t>
          </a:r>
        </a:p>
      </xdr:txBody>
    </xdr:sp>
    <xdr:clientData/>
  </xdr:twoCellAnchor>
  <xdr:twoCellAnchor>
    <xdr:from>
      <xdr:col>9</xdr:col>
      <xdr:colOff>66675</xdr:colOff>
      <xdr:row>7</xdr:row>
      <xdr:rowOff>3615</xdr:rowOff>
    </xdr:from>
    <xdr:to>
      <xdr:col>10</xdr:col>
      <xdr:colOff>542926</xdr:colOff>
      <xdr:row>9</xdr:row>
      <xdr:rowOff>30514</xdr:rowOff>
    </xdr:to>
    <xdr:sp macro="" textlink="">
      <xdr:nvSpPr>
        <xdr:cNvPr id="3" name="Rectangle 2" descr="Hierarchy Level 1">
          <a:extLst>
            <a:ext uri="{FF2B5EF4-FFF2-40B4-BE49-F238E27FC236}">
              <a16:creationId xmlns:a16="http://schemas.microsoft.com/office/drawing/2014/main" id="{4D3BCB75-7CA9-4222-8FB2-D065A0E11E1C}"/>
            </a:ext>
          </a:extLst>
        </xdr:cNvPr>
        <xdr:cNvSpPr/>
      </xdr:nvSpPr>
      <xdr:spPr>
        <a:xfrm>
          <a:off x="5724525" y="1146615"/>
          <a:ext cx="1104901" cy="407899"/>
        </a:xfrm>
        <a:prstGeom prst="rect">
          <a:avLst/>
        </a:prstGeom>
        <a:solidFill>
          <a:srgbClr val="00B0F0"/>
        </a:solidFill>
        <a:ln>
          <a:noFill/>
        </a:ln>
        <a:effectLst/>
        <a:scene3d>
          <a:camera prst="orthographicFront"/>
          <a:lightRig rig="flat" dir="t"/>
        </a:scene3d>
        <a:sp3d prstMaterial="dkEdge"/>
      </xdr:spPr>
      <xdr:style>
        <a:lnRef idx="0">
          <a:scrgbClr r="0" g="0" b="0"/>
        </a:lnRef>
        <a:fillRef idx="2">
          <a:scrgbClr r="0" g="0" b="0"/>
        </a:fillRef>
        <a:effectRef idx="1">
          <a:scrgbClr r="0" g="0" b="0"/>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t> HT L32</a:t>
          </a:r>
          <a:endParaRPr lang="en-GB" sz="1000" b="0" kern="1200"/>
        </a:p>
      </xdr:txBody>
    </xdr:sp>
    <xdr:clientData/>
  </xdr:twoCellAnchor>
  <xdr:twoCellAnchor>
    <xdr:from>
      <xdr:col>0</xdr:col>
      <xdr:colOff>323850</xdr:colOff>
      <xdr:row>8</xdr:row>
      <xdr:rowOff>39673</xdr:rowOff>
    </xdr:from>
    <xdr:to>
      <xdr:col>2</xdr:col>
      <xdr:colOff>361950</xdr:colOff>
      <xdr:row>10</xdr:row>
      <xdr:rowOff>141254</xdr:rowOff>
    </xdr:to>
    <xdr:sp macro="" textlink="">
      <xdr:nvSpPr>
        <xdr:cNvPr id="4" name="Rectangle 3" descr="Hierarchy Sub Level">
          <a:extLst>
            <a:ext uri="{FF2B5EF4-FFF2-40B4-BE49-F238E27FC236}">
              <a16:creationId xmlns:a16="http://schemas.microsoft.com/office/drawing/2014/main" id="{5C904293-8BA6-4CB7-B237-47A34B53494D}"/>
            </a:ext>
          </a:extLst>
        </xdr:cNvPr>
        <xdr:cNvSpPr/>
      </xdr:nvSpPr>
      <xdr:spPr>
        <a:xfrm>
          <a:off x="323850" y="1373173"/>
          <a:ext cx="1295400" cy="482581"/>
        </a:xfrm>
        <a:prstGeom prst="rect">
          <a:avLst/>
        </a:prstGeom>
        <a:solidFill>
          <a:sysClr val="window" lastClr="FFFFFF">
            <a:lumMod val="95000"/>
          </a:sys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1">
              <a:solidFill>
                <a:prstClr val="black"/>
              </a:solidFill>
              <a:latin typeface="Arial Black" panose="020B0A04020102020204" pitchFamily="34" charset="0"/>
            </a:rPr>
            <a:t>Administration</a:t>
          </a:r>
          <a:endParaRPr lang="en-GB" sz="1000" b="1" kern="1200">
            <a:solidFill>
              <a:prstClr val="black"/>
            </a:solidFill>
            <a:latin typeface="Arial Black" panose="020B0A04020102020204" pitchFamily="34" charset="0"/>
          </a:endParaRPr>
        </a:p>
      </xdr:txBody>
    </xdr:sp>
    <xdr:clientData/>
  </xdr:twoCellAnchor>
  <xdr:twoCellAnchor>
    <xdr:from>
      <xdr:col>3</xdr:col>
      <xdr:colOff>47626</xdr:colOff>
      <xdr:row>36</xdr:row>
      <xdr:rowOff>28574</xdr:rowOff>
    </xdr:from>
    <xdr:to>
      <xdr:col>6</xdr:col>
      <xdr:colOff>295276</xdr:colOff>
      <xdr:row>40</xdr:row>
      <xdr:rowOff>47625</xdr:rowOff>
    </xdr:to>
    <xdr:sp macro="" textlink="">
      <xdr:nvSpPr>
        <xdr:cNvPr id="5" name="Rectangle 4" descr="Hierarchy Level 2 Item 1">
          <a:extLst>
            <a:ext uri="{FF2B5EF4-FFF2-40B4-BE49-F238E27FC236}">
              <a16:creationId xmlns:a16="http://schemas.microsoft.com/office/drawing/2014/main" id="{0A8DCC01-A992-4562-96A8-842689B0E06A}"/>
            </a:ext>
          </a:extLst>
        </xdr:cNvPr>
        <xdr:cNvSpPr/>
      </xdr:nvSpPr>
      <xdr:spPr>
        <a:xfrm>
          <a:off x="1933576" y="6696074"/>
          <a:ext cx="2133600" cy="781051"/>
        </a:xfrm>
        <a:prstGeom prst="rect">
          <a:avLst/>
        </a:prstGeom>
        <a:solidFill>
          <a:srgbClr val="00B0F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Inclusion</a:t>
          </a:r>
          <a:r>
            <a:rPr lang="en-GB" sz="1000" b="0" kern="1200" baseline="0">
              <a:solidFill>
                <a:prstClr val="black"/>
              </a:solidFill>
            </a:rPr>
            <a:t> Manager UPS3 0.2 FTE</a:t>
          </a:r>
        </a:p>
        <a:p>
          <a:pPr marL="0" lvl="0" indent="0" algn="ctr" defTabSz="577850" rtl="0">
            <a:lnSpc>
              <a:spcPct val="90000"/>
            </a:lnSpc>
            <a:spcBef>
              <a:spcPct val="0"/>
            </a:spcBef>
            <a:spcAft>
              <a:spcPct val="35000"/>
            </a:spcAft>
            <a:buNone/>
          </a:pPr>
          <a:r>
            <a:rPr lang="en-GB" sz="1000" b="0" kern="1200" baseline="0">
              <a:solidFill>
                <a:prstClr val="black"/>
              </a:solidFill>
            </a:rPr>
            <a:t>TLR2.3. SEN allowance (Max)</a:t>
          </a:r>
        </a:p>
        <a:p>
          <a:pPr marL="0" lvl="0" indent="0" algn="ctr" defTabSz="577850" rtl="0">
            <a:lnSpc>
              <a:spcPct val="90000"/>
            </a:lnSpc>
            <a:spcBef>
              <a:spcPct val="0"/>
            </a:spcBef>
            <a:spcAft>
              <a:spcPct val="35000"/>
            </a:spcAft>
            <a:buNone/>
          </a:pPr>
          <a:endParaRPr lang="en-GB" sz="1000" b="0" kern="1200">
            <a:solidFill>
              <a:prstClr val="black"/>
            </a:solidFill>
          </a:endParaRPr>
        </a:p>
      </xdr:txBody>
    </xdr:sp>
    <xdr:clientData/>
  </xdr:twoCellAnchor>
  <xdr:twoCellAnchor>
    <xdr:from>
      <xdr:col>14</xdr:col>
      <xdr:colOff>133351</xdr:colOff>
      <xdr:row>10</xdr:row>
      <xdr:rowOff>23142</xdr:rowOff>
    </xdr:from>
    <xdr:to>
      <xdr:col>17</xdr:col>
      <xdr:colOff>104775</xdr:colOff>
      <xdr:row>13</xdr:row>
      <xdr:rowOff>57149</xdr:rowOff>
    </xdr:to>
    <xdr:sp macro="" textlink="">
      <xdr:nvSpPr>
        <xdr:cNvPr id="6" name="Rectangle 5" descr="Hierarchy Level 2 Item 3">
          <a:extLst>
            <a:ext uri="{FF2B5EF4-FFF2-40B4-BE49-F238E27FC236}">
              <a16:creationId xmlns:a16="http://schemas.microsoft.com/office/drawing/2014/main" id="{4ADEC936-93E3-46F7-8751-89B268F5940E}"/>
            </a:ext>
          </a:extLst>
        </xdr:cNvPr>
        <xdr:cNvSpPr/>
      </xdr:nvSpPr>
      <xdr:spPr>
        <a:xfrm>
          <a:off x="8934451" y="1737642"/>
          <a:ext cx="1857374" cy="605507"/>
        </a:xfrm>
        <a:prstGeom prst="rect">
          <a:avLst/>
        </a:prstGeom>
        <a:solidFill>
          <a:srgbClr val="00B0F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EYLead </a:t>
          </a:r>
        </a:p>
        <a:p>
          <a:pPr marL="0" lvl="0" indent="0" algn="ctr" defTabSz="577850" rtl="0">
            <a:lnSpc>
              <a:spcPct val="90000"/>
            </a:lnSpc>
            <a:spcBef>
              <a:spcPct val="0"/>
            </a:spcBef>
            <a:spcAft>
              <a:spcPct val="35000"/>
            </a:spcAft>
            <a:buNone/>
          </a:pPr>
          <a:r>
            <a:rPr lang="en-GB" sz="1000">
              <a:solidFill>
                <a:prstClr val="black"/>
              </a:solidFill>
            </a:rPr>
            <a:t>SOUL</a:t>
          </a:r>
          <a:r>
            <a:rPr lang="en-GB" sz="1000" baseline="0">
              <a:solidFill>
                <a:prstClr val="black"/>
              </a:solidFill>
            </a:rPr>
            <a:t> 06 + London Weighting</a:t>
          </a:r>
        </a:p>
        <a:p>
          <a:pPr marL="0" lvl="0" indent="0" algn="ctr" defTabSz="577850" rtl="0">
            <a:lnSpc>
              <a:spcPct val="90000"/>
            </a:lnSpc>
            <a:spcBef>
              <a:spcPct val="0"/>
            </a:spcBef>
            <a:spcAft>
              <a:spcPct val="35000"/>
            </a:spcAft>
            <a:buNone/>
          </a:pPr>
          <a:r>
            <a:rPr lang="en-GB" sz="1000">
              <a:solidFill>
                <a:prstClr val="black"/>
              </a:solidFill>
            </a:rPr>
            <a:t>1FTE</a:t>
          </a:r>
          <a:endParaRPr lang="en-GB" sz="1000" b="0" kern="1200">
            <a:solidFill>
              <a:prstClr val="black"/>
            </a:solidFill>
          </a:endParaRPr>
        </a:p>
      </xdr:txBody>
    </xdr:sp>
    <xdr:clientData/>
  </xdr:twoCellAnchor>
  <xdr:twoCellAnchor>
    <xdr:from>
      <xdr:col>17</xdr:col>
      <xdr:colOff>232319</xdr:colOff>
      <xdr:row>19</xdr:row>
      <xdr:rowOff>91105</xdr:rowOff>
    </xdr:from>
    <xdr:to>
      <xdr:col>17</xdr:col>
      <xdr:colOff>232319</xdr:colOff>
      <xdr:row>21</xdr:row>
      <xdr:rowOff>88421</xdr:rowOff>
    </xdr:to>
    <xdr:cxnSp macro="">
      <xdr:nvCxnSpPr>
        <xdr:cNvPr id="7" name="Straight Connector 6" descr="Connector Line">
          <a:extLst>
            <a:ext uri="{FF2B5EF4-FFF2-40B4-BE49-F238E27FC236}">
              <a16:creationId xmlns:a16="http://schemas.microsoft.com/office/drawing/2014/main" id="{159CAC37-3EB8-4E4C-BDC0-414371AEAC18}"/>
            </a:ext>
          </a:extLst>
        </xdr:cNvPr>
        <xdr:cNvCxnSpPr>
          <a:cxnSpLocks/>
        </xdr:cNvCxnSpPr>
      </xdr:nvCxnSpPr>
      <xdr:spPr>
        <a:xfrm>
          <a:off x="10919369" y="3520105"/>
          <a:ext cx="0" cy="378316"/>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170272</xdr:colOff>
      <xdr:row>19</xdr:row>
      <xdr:rowOff>53005</xdr:rowOff>
    </xdr:from>
    <xdr:to>
      <xdr:col>15</xdr:col>
      <xdr:colOff>170272</xdr:colOff>
      <xdr:row>21</xdr:row>
      <xdr:rowOff>50321</xdr:rowOff>
    </xdr:to>
    <xdr:cxnSp macro="">
      <xdr:nvCxnSpPr>
        <xdr:cNvPr id="8" name="Straight Connector 7" descr="Connector Line">
          <a:extLst>
            <a:ext uri="{FF2B5EF4-FFF2-40B4-BE49-F238E27FC236}">
              <a16:creationId xmlns:a16="http://schemas.microsoft.com/office/drawing/2014/main" id="{62850B85-B551-4308-97FC-F1A2F12A42B6}"/>
            </a:ext>
          </a:extLst>
        </xdr:cNvPr>
        <xdr:cNvCxnSpPr>
          <a:cxnSpLocks/>
        </xdr:cNvCxnSpPr>
      </xdr:nvCxnSpPr>
      <xdr:spPr>
        <a:xfrm>
          <a:off x="9600022" y="3482005"/>
          <a:ext cx="0" cy="378316"/>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108225</xdr:colOff>
      <xdr:row>19</xdr:row>
      <xdr:rowOff>91105</xdr:rowOff>
    </xdr:from>
    <xdr:to>
      <xdr:col>12</xdr:col>
      <xdr:colOff>108225</xdr:colOff>
      <xdr:row>21</xdr:row>
      <xdr:rowOff>88421</xdr:rowOff>
    </xdr:to>
    <xdr:cxnSp macro="">
      <xdr:nvCxnSpPr>
        <xdr:cNvPr id="9" name="Straight Connector 8" descr="Connector Line">
          <a:extLst>
            <a:ext uri="{FF2B5EF4-FFF2-40B4-BE49-F238E27FC236}">
              <a16:creationId xmlns:a16="http://schemas.microsoft.com/office/drawing/2014/main" id="{F0F5C300-08BB-4EB2-BCCC-C6ADF1843B0B}"/>
            </a:ext>
          </a:extLst>
        </xdr:cNvPr>
        <xdr:cNvCxnSpPr>
          <a:cxnSpLocks/>
        </xdr:cNvCxnSpPr>
      </xdr:nvCxnSpPr>
      <xdr:spPr>
        <a:xfrm>
          <a:off x="7652025" y="3520105"/>
          <a:ext cx="0" cy="378316"/>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46178</xdr:colOff>
      <xdr:row>19</xdr:row>
      <xdr:rowOff>79977</xdr:rowOff>
    </xdr:from>
    <xdr:to>
      <xdr:col>10</xdr:col>
      <xdr:colOff>46178</xdr:colOff>
      <xdr:row>21</xdr:row>
      <xdr:rowOff>77293</xdr:rowOff>
    </xdr:to>
    <xdr:cxnSp macro="">
      <xdr:nvCxnSpPr>
        <xdr:cNvPr id="10" name="Straight Connector 9" descr="Connector Line">
          <a:extLst>
            <a:ext uri="{FF2B5EF4-FFF2-40B4-BE49-F238E27FC236}">
              <a16:creationId xmlns:a16="http://schemas.microsoft.com/office/drawing/2014/main" id="{FF54C2F1-A7BF-43D7-9C28-322DAF166E40}"/>
            </a:ext>
          </a:extLst>
        </xdr:cNvPr>
        <xdr:cNvCxnSpPr>
          <a:cxnSpLocks/>
        </xdr:cNvCxnSpPr>
      </xdr:nvCxnSpPr>
      <xdr:spPr>
        <a:xfrm>
          <a:off x="6332678" y="3508977"/>
          <a:ext cx="0" cy="378316"/>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591877</xdr:colOff>
      <xdr:row>27</xdr:row>
      <xdr:rowOff>16872</xdr:rowOff>
    </xdr:from>
    <xdr:to>
      <xdr:col>7</xdr:col>
      <xdr:colOff>591877</xdr:colOff>
      <xdr:row>27</xdr:row>
      <xdr:rowOff>136536</xdr:rowOff>
    </xdr:to>
    <xdr:cxnSp macro="">
      <xdr:nvCxnSpPr>
        <xdr:cNvPr id="11" name="Straight Connector 10" descr="Connector Line">
          <a:extLst>
            <a:ext uri="{FF2B5EF4-FFF2-40B4-BE49-F238E27FC236}">
              <a16:creationId xmlns:a16="http://schemas.microsoft.com/office/drawing/2014/main" id="{78E869CC-D13A-4AA9-B5BF-73B69494DA84}"/>
            </a:ext>
          </a:extLst>
        </xdr:cNvPr>
        <xdr:cNvCxnSpPr>
          <a:cxnSpLocks/>
        </xdr:cNvCxnSpPr>
      </xdr:nvCxnSpPr>
      <xdr:spPr>
        <a:xfrm>
          <a:off x="4992427" y="4969872"/>
          <a:ext cx="0" cy="119664"/>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96384</xdr:colOff>
      <xdr:row>26</xdr:row>
      <xdr:rowOff>118965</xdr:rowOff>
    </xdr:from>
    <xdr:to>
      <xdr:col>10</xdr:col>
      <xdr:colOff>96384</xdr:colOff>
      <xdr:row>27</xdr:row>
      <xdr:rowOff>76704</xdr:rowOff>
    </xdr:to>
    <xdr:cxnSp macro="">
      <xdr:nvCxnSpPr>
        <xdr:cNvPr id="12" name="Straight Connector 11" descr="Connector Line">
          <a:extLst>
            <a:ext uri="{FF2B5EF4-FFF2-40B4-BE49-F238E27FC236}">
              <a16:creationId xmlns:a16="http://schemas.microsoft.com/office/drawing/2014/main" id="{190DDAF2-6835-48B0-B403-A2FA85677A2E}"/>
            </a:ext>
          </a:extLst>
        </xdr:cNvPr>
        <xdr:cNvCxnSpPr>
          <a:cxnSpLocks/>
        </xdr:cNvCxnSpPr>
      </xdr:nvCxnSpPr>
      <xdr:spPr>
        <a:xfrm>
          <a:off x="6382884" y="4881465"/>
          <a:ext cx="0" cy="148239"/>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108225</xdr:colOff>
      <xdr:row>27</xdr:row>
      <xdr:rowOff>16872</xdr:rowOff>
    </xdr:from>
    <xdr:to>
      <xdr:col>12</xdr:col>
      <xdr:colOff>108225</xdr:colOff>
      <xdr:row>27</xdr:row>
      <xdr:rowOff>136536</xdr:rowOff>
    </xdr:to>
    <xdr:cxnSp macro="">
      <xdr:nvCxnSpPr>
        <xdr:cNvPr id="13" name="Straight Connector 12" descr="Connector Line">
          <a:extLst>
            <a:ext uri="{FF2B5EF4-FFF2-40B4-BE49-F238E27FC236}">
              <a16:creationId xmlns:a16="http://schemas.microsoft.com/office/drawing/2014/main" id="{053E0C24-E8EE-4F93-8471-7C70DF6C2C3C}"/>
            </a:ext>
          </a:extLst>
        </xdr:cNvPr>
        <xdr:cNvCxnSpPr>
          <a:cxnSpLocks/>
        </xdr:cNvCxnSpPr>
      </xdr:nvCxnSpPr>
      <xdr:spPr>
        <a:xfrm>
          <a:off x="7652025" y="4969872"/>
          <a:ext cx="0" cy="119664"/>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170272</xdr:colOff>
      <xdr:row>27</xdr:row>
      <xdr:rowOff>16872</xdr:rowOff>
    </xdr:from>
    <xdr:to>
      <xdr:col>15</xdr:col>
      <xdr:colOff>170272</xdr:colOff>
      <xdr:row>27</xdr:row>
      <xdr:rowOff>136536</xdr:rowOff>
    </xdr:to>
    <xdr:cxnSp macro="">
      <xdr:nvCxnSpPr>
        <xdr:cNvPr id="14" name="Straight Connector 13" descr="Connector Line">
          <a:extLst>
            <a:ext uri="{FF2B5EF4-FFF2-40B4-BE49-F238E27FC236}">
              <a16:creationId xmlns:a16="http://schemas.microsoft.com/office/drawing/2014/main" id="{83EB8F26-7065-43FF-B8B6-0BB6B98D5DB6}"/>
            </a:ext>
          </a:extLst>
        </xdr:cNvPr>
        <xdr:cNvCxnSpPr>
          <a:cxnSpLocks/>
        </xdr:cNvCxnSpPr>
      </xdr:nvCxnSpPr>
      <xdr:spPr>
        <a:xfrm>
          <a:off x="9600022" y="4969872"/>
          <a:ext cx="0" cy="119664"/>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232319</xdr:colOff>
      <xdr:row>27</xdr:row>
      <xdr:rowOff>16872</xdr:rowOff>
    </xdr:from>
    <xdr:to>
      <xdr:col>17</xdr:col>
      <xdr:colOff>232319</xdr:colOff>
      <xdr:row>27</xdr:row>
      <xdr:rowOff>136536</xdr:rowOff>
    </xdr:to>
    <xdr:cxnSp macro="">
      <xdr:nvCxnSpPr>
        <xdr:cNvPr id="15" name="Straight Connector 14" descr="Connector Line">
          <a:extLst>
            <a:ext uri="{FF2B5EF4-FFF2-40B4-BE49-F238E27FC236}">
              <a16:creationId xmlns:a16="http://schemas.microsoft.com/office/drawing/2014/main" id="{F261E695-E586-409D-8EB9-99E1C457E4C8}"/>
            </a:ext>
          </a:extLst>
        </xdr:cNvPr>
        <xdr:cNvCxnSpPr>
          <a:cxnSpLocks/>
        </xdr:cNvCxnSpPr>
      </xdr:nvCxnSpPr>
      <xdr:spPr>
        <a:xfrm>
          <a:off x="10919369" y="4969872"/>
          <a:ext cx="0" cy="119664"/>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294364</xdr:colOff>
      <xdr:row>28</xdr:row>
      <xdr:rowOff>16872</xdr:rowOff>
    </xdr:from>
    <xdr:to>
      <xdr:col>19</xdr:col>
      <xdr:colOff>294364</xdr:colOff>
      <xdr:row>28</xdr:row>
      <xdr:rowOff>136536</xdr:rowOff>
    </xdr:to>
    <xdr:cxnSp macro="">
      <xdr:nvCxnSpPr>
        <xdr:cNvPr id="16" name="Straight Connector 15" descr="Connector Line">
          <a:extLst>
            <a:ext uri="{FF2B5EF4-FFF2-40B4-BE49-F238E27FC236}">
              <a16:creationId xmlns:a16="http://schemas.microsoft.com/office/drawing/2014/main" id="{267391C9-AAA8-4BD4-A945-6F42E105229C}"/>
            </a:ext>
          </a:extLst>
        </xdr:cNvPr>
        <xdr:cNvCxnSpPr>
          <a:cxnSpLocks/>
        </xdr:cNvCxnSpPr>
      </xdr:nvCxnSpPr>
      <xdr:spPr>
        <a:xfrm>
          <a:off x="12238714" y="5160372"/>
          <a:ext cx="0" cy="119664"/>
        </a:xfrm>
        <a:prstGeom prst="line">
          <a:avLst/>
        </a:prstGeom>
        <a:noFill/>
        <a:ln w="3175" cap="flat" cmpd="sng" algn="ctr">
          <a:solidFill>
            <a:sysClr val="window" lastClr="FFFFFF">
              <a:lumMod val="85000"/>
            </a:sysClr>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16</xdr:row>
      <xdr:rowOff>38100</xdr:rowOff>
    </xdr:from>
    <xdr:to>
      <xdr:col>5</xdr:col>
      <xdr:colOff>247650</xdr:colOff>
      <xdr:row>20</xdr:row>
      <xdr:rowOff>123824</xdr:rowOff>
    </xdr:to>
    <xdr:sp macro="" textlink="">
      <xdr:nvSpPr>
        <xdr:cNvPr id="17" name="Rectangle 16" descr="Hierarchy Level 2 Item 5">
          <a:extLst>
            <a:ext uri="{FF2B5EF4-FFF2-40B4-BE49-F238E27FC236}">
              <a16:creationId xmlns:a16="http://schemas.microsoft.com/office/drawing/2014/main" id="{B4D4509F-99A8-45E9-A676-D8C7E48699A6}"/>
            </a:ext>
          </a:extLst>
        </xdr:cNvPr>
        <xdr:cNvSpPr/>
      </xdr:nvSpPr>
      <xdr:spPr>
        <a:xfrm>
          <a:off x="2609850" y="2895600"/>
          <a:ext cx="781050" cy="847724"/>
        </a:xfrm>
        <a:prstGeom prst="rect">
          <a:avLst/>
        </a:prstGeom>
        <a:solidFill>
          <a:srgbClr val="E6D024"/>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EYFS Teacher </a:t>
          </a:r>
          <a:r>
            <a:rPr lang="en-GB" sz="1000" b="0" kern="1200">
              <a:solidFill>
                <a:prstClr val="black"/>
              </a:solidFill>
            </a:rPr>
            <a:t>UPS</a:t>
          </a:r>
          <a:r>
            <a:rPr lang="en-GB" sz="1000" b="0" kern="1200" baseline="0">
              <a:solidFill>
                <a:prstClr val="black"/>
              </a:solidFill>
            </a:rPr>
            <a:t> 2</a:t>
          </a:r>
        </a:p>
        <a:p>
          <a:pPr marL="0" lvl="0" indent="0" algn="ctr" defTabSz="577850" rtl="0">
            <a:lnSpc>
              <a:spcPct val="90000"/>
            </a:lnSpc>
            <a:spcBef>
              <a:spcPct val="0"/>
            </a:spcBef>
            <a:spcAft>
              <a:spcPct val="35000"/>
            </a:spcAft>
            <a:buNone/>
          </a:pPr>
          <a:r>
            <a:rPr lang="en-GB" sz="1000" b="0" kern="1200" baseline="0">
              <a:solidFill>
                <a:prstClr val="black"/>
              </a:solidFill>
            </a:rPr>
            <a:t>TLR 2.2</a:t>
          </a:r>
        </a:p>
        <a:p>
          <a:pPr marL="0" lvl="0" indent="0" algn="ctr" defTabSz="577850" rtl="0">
            <a:lnSpc>
              <a:spcPct val="90000"/>
            </a:lnSpc>
            <a:spcBef>
              <a:spcPct val="0"/>
            </a:spcBef>
            <a:spcAft>
              <a:spcPct val="35000"/>
            </a:spcAft>
            <a:buNone/>
          </a:pPr>
          <a:r>
            <a:rPr lang="en-GB" sz="1000" b="0" kern="1200">
              <a:solidFill>
                <a:prstClr val="black"/>
              </a:solidFill>
            </a:rPr>
            <a:t> 1FTE</a:t>
          </a:r>
        </a:p>
      </xdr:txBody>
    </xdr:sp>
    <xdr:clientData/>
  </xdr:twoCellAnchor>
  <xdr:twoCellAnchor>
    <xdr:from>
      <xdr:col>7</xdr:col>
      <xdr:colOff>247650</xdr:colOff>
      <xdr:row>16</xdr:row>
      <xdr:rowOff>1</xdr:rowOff>
    </xdr:from>
    <xdr:to>
      <xdr:col>8</xdr:col>
      <xdr:colOff>276225</xdr:colOff>
      <xdr:row>20</xdr:row>
      <xdr:rowOff>142876</xdr:rowOff>
    </xdr:to>
    <xdr:sp macro="" textlink="">
      <xdr:nvSpPr>
        <xdr:cNvPr id="18" name="Rectangle 17" descr="Hierarchy Level 2 Item 5">
          <a:extLst>
            <a:ext uri="{FF2B5EF4-FFF2-40B4-BE49-F238E27FC236}">
              <a16:creationId xmlns:a16="http://schemas.microsoft.com/office/drawing/2014/main" id="{4B25043E-D932-4E2A-A465-FF3B6C9E5A97}"/>
            </a:ext>
          </a:extLst>
        </xdr:cNvPr>
        <xdr:cNvSpPr/>
      </xdr:nvSpPr>
      <xdr:spPr>
        <a:xfrm>
          <a:off x="4648200" y="2857501"/>
          <a:ext cx="657225" cy="904875"/>
        </a:xfrm>
        <a:prstGeom prst="rect">
          <a:avLst/>
        </a:prstGeom>
        <a:solidFill>
          <a:srgbClr val="92D05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Yr2 Teacher </a:t>
          </a:r>
        </a:p>
        <a:p>
          <a:pPr marL="0" lvl="0" indent="0" algn="ctr" defTabSz="577850" rtl="0">
            <a:lnSpc>
              <a:spcPct val="90000"/>
            </a:lnSpc>
            <a:spcBef>
              <a:spcPct val="0"/>
            </a:spcBef>
            <a:spcAft>
              <a:spcPct val="35000"/>
            </a:spcAft>
            <a:buNone/>
          </a:pPr>
          <a:r>
            <a:rPr lang="en-GB" sz="1000">
              <a:solidFill>
                <a:prstClr val="black"/>
              </a:solidFill>
            </a:rPr>
            <a:t>MPR6</a:t>
          </a:r>
        </a:p>
        <a:p>
          <a:pPr marL="0" lvl="0" indent="0" algn="ctr" defTabSz="577850" rtl="0">
            <a:lnSpc>
              <a:spcPct val="90000"/>
            </a:lnSpc>
            <a:spcBef>
              <a:spcPct val="0"/>
            </a:spcBef>
            <a:spcAft>
              <a:spcPct val="35000"/>
            </a:spcAft>
            <a:buNone/>
          </a:pPr>
          <a:r>
            <a:rPr lang="en-GB" sz="1000">
              <a:solidFill>
                <a:prstClr val="black"/>
              </a:solidFill>
            </a:rPr>
            <a:t>TLR 2.2</a:t>
          </a:r>
        </a:p>
        <a:p>
          <a:pPr marL="0" lvl="0" indent="0" algn="ctr" defTabSz="577850" rtl="0">
            <a:lnSpc>
              <a:spcPct val="90000"/>
            </a:lnSpc>
            <a:spcBef>
              <a:spcPct val="0"/>
            </a:spcBef>
            <a:spcAft>
              <a:spcPct val="35000"/>
            </a:spcAft>
            <a:buNone/>
          </a:pPr>
          <a:r>
            <a:rPr lang="en-GB" sz="1000" baseline="0">
              <a:solidFill>
                <a:prstClr val="black"/>
              </a:solidFill>
            </a:rPr>
            <a:t>1 FTE</a:t>
          </a:r>
        </a:p>
        <a:p>
          <a:pPr marL="0" lvl="0" indent="0" algn="ctr" defTabSz="577850" rtl="0">
            <a:lnSpc>
              <a:spcPct val="90000"/>
            </a:lnSpc>
            <a:spcBef>
              <a:spcPct val="0"/>
            </a:spcBef>
            <a:spcAft>
              <a:spcPct val="35000"/>
            </a:spcAft>
            <a:buNone/>
          </a:pPr>
          <a:endParaRPr lang="en-GB" sz="1000" b="0" kern="1200" baseline="0">
            <a:solidFill>
              <a:prstClr val="black"/>
            </a:solidFill>
          </a:endParaRPr>
        </a:p>
      </xdr:txBody>
    </xdr:sp>
    <xdr:clientData/>
  </xdr:twoCellAnchor>
  <xdr:twoCellAnchor>
    <xdr:from>
      <xdr:col>8</xdr:col>
      <xdr:colOff>390526</xdr:colOff>
      <xdr:row>16</xdr:row>
      <xdr:rowOff>9525</xdr:rowOff>
    </xdr:from>
    <xdr:to>
      <xdr:col>9</xdr:col>
      <xdr:colOff>438150</xdr:colOff>
      <xdr:row>20</xdr:row>
      <xdr:rowOff>152401</xdr:rowOff>
    </xdr:to>
    <xdr:sp macro="" textlink="">
      <xdr:nvSpPr>
        <xdr:cNvPr id="19" name="Rectangle 18" descr="Hierarchy Level 2 Item 5">
          <a:extLst>
            <a:ext uri="{FF2B5EF4-FFF2-40B4-BE49-F238E27FC236}">
              <a16:creationId xmlns:a16="http://schemas.microsoft.com/office/drawing/2014/main" id="{CF438855-241A-40AA-920A-FB8ADAD549E2}"/>
            </a:ext>
          </a:extLst>
        </xdr:cNvPr>
        <xdr:cNvSpPr/>
      </xdr:nvSpPr>
      <xdr:spPr>
        <a:xfrm>
          <a:off x="5419726" y="2867025"/>
          <a:ext cx="676274" cy="904876"/>
        </a:xfrm>
        <a:prstGeom prst="rect">
          <a:avLst/>
        </a:prstGeom>
        <a:solidFill>
          <a:srgbClr val="FF000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Yr3 Teacher</a:t>
          </a:r>
        </a:p>
        <a:p>
          <a:pPr marL="0" lvl="0" indent="0" algn="ctr" defTabSz="577850" rtl="0">
            <a:lnSpc>
              <a:spcPct val="90000"/>
            </a:lnSpc>
            <a:spcBef>
              <a:spcPct val="0"/>
            </a:spcBef>
            <a:spcAft>
              <a:spcPct val="35000"/>
            </a:spcAft>
            <a:buNone/>
          </a:pPr>
          <a:r>
            <a:rPr lang="en-GB" sz="1000" b="1" kern="1200" baseline="0">
              <a:solidFill>
                <a:prstClr val="black"/>
              </a:solidFill>
            </a:rPr>
            <a:t>Maternity </a:t>
          </a:r>
        </a:p>
        <a:p>
          <a:pPr marL="0" lvl="0" indent="0" algn="ctr" defTabSz="577850" rtl="0">
            <a:lnSpc>
              <a:spcPct val="90000"/>
            </a:lnSpc>
            <a:spcBef>
              <a:spcPct val="0"/>
            </a:spcBef>
            <a:spcAft>
              <a:spcPct val="35000"/>
            </a:spcAft>
            <a:buNone/>
          </a:pPr>
          <a:r>
            <a:rPr lang="en-GB" sz="1000" b="1" kern="1200" baseline="0">
              <a:solidFill>
                <a:prstClr val="black"/>
              </a:solidFill>
            </a:rPr>
            <a:t>Cover</a:t>
          </a:r>
        </a:p>
        <a:p>
          <a:pPr marL="0" lvl="0" indent="0" algn="ctr" defTabSz="577850" rtl="0">
            <a:lnSpc>
              <a:spcPct val="90000"/>
            </a:lnSpc>
            <a:spcBef>
              <a:spcPct val="0"/>
            </a:spcBef>
            <a:spcAft>
              <a:spcPct val="35000"/>
            </a:spcAft>
            <a:buNone/>
          </a:pPr>
          <a:r>
            <a:rPr lang="en-GB" sz="1000" b="0" kern="1200" baseline="0">
              <a:solidFill>
                <a:prstClr val="black"/>
              </a:solidFill>
            </a:rPr>
            <a:t> 1FTE </a:t>
          </a:r>
          <a:endParaRPr lang="en-GB" sz="1000" b="0" kern="1200">
            <a:solidFill>
              <a:prstClr val="black"/>
            </a:solidFill>
          </a:endParaRPr>
        </a:p>
      </xdr:txBody>
    </xdr:sp>
    <xdr:clientData/>
  </xdr:twoCellAnchor>
  <xdr:twoCellAnchor>
    <xdr:from>
      <xdr:col>9</xdr:col>
      <xdr:colOff>562305</xdr:colOff>
      <xdr:row>16</xdr:row>
      <xdr:rowOff>28576</xdr:rowOff>
    </xdr:from>
    <xdr:to>
      <xdr:col>10</xdr:col>
      <xdr:colOff>603417</xdr:colOff>
      <xdr:row>20</xdr:row>
      <xdr:rowOff>171451</xdr:rowOff>
    </xdr:to>
    <xdr:sp macro="" textlink="">
      <xdr:nvSpPr>
        <xdr:cNvPr id="20" name="Rectangle 19" descr="Hierarchy Level 2 Item 5">
          <a:extLst>
            <a:ext uri="{FF2B5EF4-FFF2-40B4-BE49-F238E27FC236}">
              <a16:creationId xmlns:a16="http://schemas.microsoft.com/office/drawing/2014/main" id="{BA3BBEDC-6B80-4628-9583-EBE49BA54821}"/>
            </a:ext>
          </a:extLst>
        </xdr:cNvPr>
        <xdr:cNvSpPr/>
      </xdr:nvSpPr>
      <xdr:spPr>
        <a:xfrm>
          <a:off x="6220155" y="2886076"/>
          <a:ext cx="669762" cy="904875"/>
        </a:xfrm>
        <a:prstGeom prst="rect">
          <a:avLst/>
        </a:prstGeom>
        <a:solidFill>
          <a:schemeClr val="accent3"/>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900">
              <a:solidFill>
                <a:prstClr val="black"/>
              </a:solidFill>
            </a:rPr>
            <a:t> Yr4 Teacher</a:t>
          </a:r>
        </a:p>
        <a:p>
          <a:pPr marL="0" lvl="0" indent="0" algn="ctr" defTabSz="577850" rtl="0">
            <a:lnSpc>
              <a:spcPct val="90000"/>
            </a:lnSpc>
            <a:spcBef>
              <a:spcPct val="0"/>
            </a:spcBef>
            <a:spcAft>
              <a:spcPct val="35000"/>
            </a:spcAft>
            <a:buNone/>
          </a:pPr>
          <a:r>
            <a:rPr lang="en-GB" sz="900" b="1">
              <a:solidFill>
                <a:prstClr val="black"/>
              </a:solidFill>
            </a:rPr>
            <a:t>MPR4</a:t>
          </a:r>
        </a:p>
        <a:p>
          <a:pPr marL="0" lvl="0" indent="0" algn="ctr" defTabSz="577850" rtl="0">
            <a:lnSpc>
              <a:spcPct val="90000"/>
            </a:lnSpc>
            <a:spcBef>
              <a:spcPct val="0"/>
            </a:spcBef>
            <a:spcAft>
              <a:spcPct val="35000"/>
            </a:spcAft>
            <a:buNone/>
          </a:pPr>
          <a:endParaRPr lang="en-GB" sz="900" b="0" kern="1200">
            <a:solidFill>
              <a:prstClr val="black"/>
            </a:solidFill>
          </a:endParaRPr>
        </a:p>
        <a:p>
          <a:pPr marL="0" lvl="0" indent="0" algn="ctr" defTabSz="577850" rtl="0">
            <a:lnSpc>
              <a:spcPct val="90000"/>
            </a:lnSpc>
            <a:spcBef>
              <a:spcPct val="0"/>
            </a:spcBef>
            <a:spcAft>
              <a:spcPct val="35000"/>
            </a:spcAft>
            <a:buNone/>
          </a:pPr>
          <a:r>
            <a:rPr lang="en-GB" sz="900" b="0" kern="1200">
              <a:solidFill>
                <a:prstClr val="black"/>
              </a:solidFill>
            </a:rPr>
            <a:t>1FTE</a:t>
          </a:r>
        </a:p>
      </xdr:txBody>
    </xdr:sp>
    <xdr:clientData/>
  </xdr:twoCellAnchor>
  <xdr:twoCellAnchor>
    <xdr:from>
      <xdr:col>11</xdr:col>
      <xdr:colOff>85725</xdr:colOff>
      <xdr:row>16</xdr:row>
      <xdr:rowOff>0</xdr:rowOff>
    </xdr:from>
    <xdr:to>
      <xdr:col>12</xdr:col>
      <xdr:colOff>157222</xdr:colOff>
      <xdr:row>20</xdr:row>
      <xdr:rowOff>171450</xdr:rowOff>
    </xdr:to>
    <xdr:sp macro="" textlink="">
      <xdr:nvSpPr>
        <xdr:cNvPr id="21" name="Rectangle 20" descr="Hierarchy Level 2 Item 5">
          <a:extLst>
            <a:ext uri="{FF2B5EF4-FFF2-40B4-BE49-F238E27FC236}">
              <a16:creationId xmlns:a16="http://schemas.microsoft.com/office/drawing/2014/main" id="{7162528D-8300-4BEF-A68F-E69A686A8E3C}"/>
            </a:ext>
          </a:extLst>
        </xdr:cNvPr>
        <xdr:cNvSpPr/>
      </xdr:nvSpPr>
      <xdr:spPr>
        <a:xfrm>
          <a:off x="7000875" y="2857500"/>
          <a:ext cx="700147" cy="933450"/>
        </a:xfrm>
        <a:prstGeom prst="rect">
          <a:avLst/>
        </a:prstGeom>
        <a:solidFill>
          <a:srgbClr val="E3DED1">
            <a:lumMod val="75000"/>
          </a:srgb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Yr5 Teacher MPR 6</a:t>
          </a:r>
        </a:p>
        <a:p>
          <a:pPr marL="0" lvl="0" indent="0" algn="ctr" defTabSz="577850" rtl="0">
            <a:lnSpc>
              <a:spcPct val="90000"/>
            </a:lnSpc>
            <a:spcBef>
              <a:spcPct val="0"/>
            </a:spcBef>
            <a:spcAft>
              <a:spcPct val="35000"/>
            </a:spcAft>
            <a:buNone/>
          </a:pPr>
          <a:endParaRPr lang="en-GB" sz="1000">
            <a:solidFill>
              <a:prstClr val="black"/>
            </a:solidFill>
          </a:endParaRPr>
        </a:p>
        <a:p>
          <a:pPr marL="0" lvl="0" indent="0" algn="ctr" defTabSz="577850" rtl="0">
            <a:lnSpc>
              <a:spcPct val="90000"/>
            </a:lnSpc>
            <a:spcBef>
              <a:spcPct val="0"/>
            </a:spcBef>
            <a:spcAft>
              <a:spcPct val="35000"/>
            </a:spcAft>
            <a:buNone/>
          </a:pPr>
          <a:r>
            <a:rPr lang="en-GB" sz="1000">
              <a:solidFill>
                <a:prstClr val="black"/>
              </a:solidFill>
            </a:rPr>
            <a:t>1</a:t>
          </a:r>
          <a:r>
            <a:rPr lang="en-GB" sz="1000" baseline="0">
              <a:solidFill>
                <a:prstClr val="black"/>
              </a:solidFill>
            </a:rPr>
            <a:t> FTE</a:t>
          </a:r>
          <a:r>
            <a:rPr lang="en-GB" sz="1000">
              <a:solidFill>
                <a:prstClr val="black"/>
              </a:solidFill>
            </a:rPr>
            <a:t> </a:t>
          </a:r>
          <a:endParaRPr lang="en-GB" sz="1000" b="0" kern="1200">
            <a:solidFill>
              <a:prstClr val="black"/>
            </a:solidFill>
          </a:endParaRPr>
        </a:p>
      </xdr:txBody>
    </xdr:sp>
    <xdr:clientData/>
  </xdr:twoCellAnchor>
  <xdr:twoCellAnchor>
    <xdr:from>
      <xdr:col>12</xdr:col>
      <xdr:colOff>285750</xdr:colOff>
      <xdr:row>15</xdr:row>
      <xdr:rowOff>180975</xdr:rowOff>
    </xdr:from>
    <xdr:to>
      <xdr:col>13</xdr:col>
      <xdr:colOff>333375</xdr:colOff>
      <xdr:row>20</xdr:row>
      <xdr:rowOff>161925</xdr:rowOff>
    </xdr:to>
    <xdr:sp macro="" textlink="">
      <xdr:nvSpPr>
        <xdr:cNvPr id="22" name="Rectangle 21" descr="Hierarchy Level 2 Item 5">
          <a:extLst>
            <a:ext uri="{FF2B5EF4-FFF2-40B4-BE49-F238E27FC236}">
              <a16:creationId xmlns:a16="http://schemas.microsoft.com/office/drawing/2014/main" id="{F7FE2D0C-B2F1-4035-AF2D-9192BD728E3B}"/>
            </a:ext>
          </a:extLst>
        </xdr:cNvPr>
        <xdr:cNvSpPr/>
      </xdr:nvSpPr>
      <xdr:spPr>
        <a:xfrm>
          <a:off x="7829550" y="2847975"/>
          <a:ext cx="676275" cy="933450"/>
        </a:xfrm>
        <a:prstGeom prst="rect">
          <a:avLst/>
        </a:prstGeom>
        <a:solidFill>
          <a:sysClr val="window" lastClr="FFFFFF">
            <a:lumMod val="85000"/>
          </a:sys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Yr6 Teacher  MPR</a:t>
          </a:r>
          <a:r>
            <a:rPr lang="en-GB" sz="1000" baseline="0">
              <a:solidFill>
                <a:prstClr val="black"/>
              </a:solidFill>
            </a:rPr>
            <a:t> 6</a:t>
          </a:r>
        </a:p>
        <a:p>
          <a:pPr marL="0" lvl="0" indent="0" algn="ctr" defTabSz="577850" rtl="0">
            <a:lnSpc>
              <a:spcPct val="90000"/>
            </a:lnSpc>
            <a:spcBef>
              <a:spcPct val="0"/>
            </a:spcBef>
            <a:spcAft>
              <a:spcPct val="35000"/>
            </a:spcAft>
            <a:buNone/>
          </a:pPr>
          <a:r>
            <a:rPr lang="en-GB" sz="1000" baseline="0">
              <a:solidFill>
                <a:prstClr val="black"/>
              </a:solidFill>
            </a:rPr>
            <a:t>TLR2.3</a:t>
          </a:r>
        </a:p>
        <a:p>
          <a:pPr marL="0" lvl="0" indent="0" algn="ctr" defTabSz="577850" rtl="0">
            <a:lnSpc>
              <a:spcPct val="90000"/>
            </a:lnSpc>
            <a:spcBef>
              <a:spcPct val="0"/>
            </a:spcBef>
            <a:spcAft>
              <a:spcPct val="35000"/>
            </a:spcAft>
            <a:buNone/>
          </a:pPr>
          <a:r>
            <a:rPr lang="en-GB" sz="1000" baseline="0">
              <a:solidFill>
                <a:prstClr val="black"/>
              </a:solidFill>
            </a:rPr>
            <a:t>1 FTE</a:t>
          </a:r>
          <a:r>
            <a:rPr lang="en-GB" sz="1000">
              <a:solidFill>
                <a:prstClr val="black"/>
              </a:solidFill>
            </a:rPr>
            <a:t> </a:t>
          </a:r>
          <a:endParaRPr lang="en-GB" sz="1000" b="0" kern="1200">
            <a:solidFill>
              <a:prstClr val="black"/>
            </a:solidFill>
          </a:endParaRPr>
        </a:p>
      </xdr:txBody>
    </xdr:sp>
    <xdr:clientData/>
  </xdr:twoCellAnchor>
  <xdr:twoCellAnchor>
    <xdr:from>
      <xdr:col>0</xdr:col>
      <xdr:colOff>608962</xdr:colOff>
      <xdr:row>15</xdr:row>
      <xdr:rowOff>357</xdr:rowOff>
    </xdr:from>
    <xdr:to>
      <xdr:col>2</xdr:col>
      <xdr:colOff>15330</xdr:colOff>
      <xdr:row>17</xdr:row>
      <xdr:rowOff>140038</xdr:rowOff>
    </xdr:to>
    <xdr:sp macro="" textlink="">
      <xdr:nvSpPr>
        <xdr:cNvPr id="23" name="Rectangle 22" descr="Hierarchy Sub Level">
          <a:extLst>
            <a:ext uri="{FF2B5EF4-FFF2-40B4-BE49-F238E27FC236}">
              <a16:creationId xmlns:a16="http://schemas.microsoft.com/office/drawing/2014/main" id="{9210B829-9080-4BE6-BE25-338827FCFC5F}"/>
            </a:ext>
          </a:extLst>
        </xdr:cNvPr>
        <xdr:cNvSpPr/>
      </xdr:nvSpPr>
      <xdr:spPr>
        <a:xfrm>
          <a:off x="608962" y="2667357"/>
          <a:ext cx="663668" cy="520681"/>
        </a:xfrm>
        <a:prstGeom prst="rect">
          <a:avLst/>
        </a:prstGeom>
        <a:solidFill>
          <a:schemeClr val="accent1">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SAO SO1</a:t>
          </a:r>
          <a:r>
            <a:rPr lang="en-GB" sz="1000" baseline="0">
              <a:solidFill>
                <a:prstClr val="black"/>
              </a:solidFill>
            </a:rPr>
            <a:t> 1FTE TT0</a:t>
          </a:r>
        </a:p>
        <a:p>
          <a:pPr marL="0" lvl="0" indent="0" algn="ctr" defTabSz="577850" rtl="0">
            <a:lnSpc>
              <a:spcPct val="90000"/>
            </a:lnSpc>
            <a:spcBef>
              <a:spcPct val="0"/>
            </a:spcBef>
            <a:spcAft>
              <a:spcPct val="35000"/>
            </a:spcAft>
            <a:buNone/>
          </a:pPr>
          <a:r>
            <a:rPr lang="en-GB" sz="1000" b="1" kern="1200" baseline="0">
              <a:solidFill>
                <a:prstClr val="black"/>
              </a:solidFill>
            </a:rPr>
            <a:t>VACANT</a:t>
          </a:r>
          <a:endParaRPr lang="en-GB" sz="1000" b="1" kern="1200">
            <a:solidFill>
              <a:prstClr val="black"/>
            </a:solidFill>
          </a:endParaRPr>
        </a:p>
      </xdr:txBody>
    </xdr:sp>
    <xdr:clientData/>
  </xdr:twoCellAnchor>
  <xdr:twoCellAnchor>
    <xdr:from>
      <xdr:col>0</xdr:col>
      <xdr:colOff>598083</xdr:colOff>
      <xdr:row>18</xdr:row>
      <xdr:rowOff>108075</xdr:rowOff>
    </xdr:from>
    <xdr:to>
      <xdr:col>2</xdr:col>
      <xdr:colOff>4451</xdr:colOff>
      <xdr:row>21</xdr:row>
      <xdr:rowOff>47731</xdr:rowOff>
    </xdr:to>
    <xdr:sp macro="" textlink="">
      <xdr:nvSpPr>
        <xdr:cNvPr id="24" name="Rectangle 23" descr="Hierarchy Sub Level">
          <a:extLst>
            <a:ext uri="{FF2B5EF4-FFF2-40B4-BE49-F238E27FC236}">
              <a16:creationId xmlns:a16="http://schemas.microsoft.com/office/drawing/2014/main" id="{EB3B35BC-ED54-4DB7-9695-CAFA8D3ED75C}"/>
            </a:ext>
          </a:extLst>
        </xdr:cNvPr>
        <xdr:cNvSpPr/>
      </xdr:nvSpPr>
      <xdr:spPr>
        <a:xfrm>
          <a:off x="598083" y="3346575"/>
          <a:ext cx="663668" cy="511156"/>
        </a:xfrm>
        <a:prstGeom prst="rect">
          <a:avLst/>
        </a:prstGeom>
        <a:solidFill>
          <a:schemeClr val="accent1">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AO SC5 0.71</a:t>
          </a:r>
          <a:r>
            <a:rPr lang="en-GB" sz="1000" baseline="0">
              <a:solidFill>
                <a:prstClr val="black"/>
              </a:solidFill>
            </a:rPr>
            <a:t> TTO</a:t>
          </a:r>
          <a:endParaRPr lang="en-GB" sz="1000" b="0" kern="1200">
            <a:solidFill>
              <a:prstClr val="black"/>
            </a:solidFill>
          </a:endParaRPr>
        </a:p>
      </xdr:txBody>
    </xdr:sp>
    <xdr:clientData/>
  </xdr:twoCellAnchor>
  <xdr:twoCellAnchor>
    <xdr:from>
      <xdr:col>6</xdr:col>
      <xdr:colOff>124509</xdr:colOff>
      <xdr:row>21</xdr:row>
      <xdr:rowOff>42138</xdr:rowOff>
    </xdr:from>
    <xdr:to>
      <xdr:col>7</xdr:col>
      <xdr:colOff>161925</xdr:colOff>
      <xdr:row>25</xdr:row>
      <xdr:rowOff>66676</xdr:rowOff>
    </xdr:to>
    <xdr:sp macro="" textlink="">
      <xdr:nvSpPr>
        <xdr:cNvPr id="25" name="Rectangle 24" descr="Hierarchy Level 2 Item 5">
          <a:extLst>
            <a:ext uri="{FF2B5EF4-FFF2-40B4-BE49-F238E27FC236}">
              <a16:creationId xmlns:a16="http://schemas.microsoft.com/office/drawing/2014/main" id="{84D8856D-F212-4E6A-9E11-3812D15C8D0A}"/>
            </a:ext>
          </a:extLst>
        </xdr:cNvPr>
        <xdr:cNvSpPr/>
      </xdr:nvSpPr>
      <xdr:spPr>
        <a:xfrm>
          <a:off x="3896409" y="3852138"/>
          <a:ext cx="666066" cy="786538"/>
        </a:xfrm>
        <a:prstGeom prst="rect">
          <a:avLst/>
        </a:prstGeom>
        <a:solidFill>
          <a:srgbClr val="455F51">
            <a:lumMod val="60000"/>
            <a:lumOff val="40000"/>
          </a:srgb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TA</a:t>
          </a:r>
        </a:p>
        <a:p>
          <a:pPr marL="0" lvl="0" indent="0" algn="ctr" defTabSz="577850" rtl="0">
            <a:lnSpc>
              <a:spcPct val="90000"/>
            </a:lnSpc>
            <a:spcBef>
              <a:spcPct val="0"/>
            </a:spcBef>
            <a:spcAft>
              <a:spcPct val="35000"/>
            </a:spcAft>
            <a:buNone/>
          </a:pPr>
          <a:r>
            <a:rPr lang="en-GB" sz="1000" b="0" kern="1200">
              <a:solidFill>
                <a:prstClr val="black"/>
              </a:solidFill>
            </a:rPr>
            <a:t>1FTE SC4 TTO </a:t>
          </a:r>
        </a:p>
      </xdr:txBody>
    </xdr:sp>
    <xdr:clientData/>
  </xdr:twoCellAnchor>
  <xdr:twoCellAnchor>
    <xdr:from>
      <xdr:col>3</xdr:col>
      <xdr:colOff>266701</xdr:colOff>
      <xdr:row>31</xdr:row>
      <xdr:rowOff>180975</xdr:rowOff>
    </xdr:from>
    <xdr:to>
      <xdr:col>13</xdr:col>
      <xdr:colOff>161925</xdr:colOff>
      <xdr:row>33</xdr:row>
      <xdr:rowOff>85725</xdr:rowOff>
    </xdr:to>
    <xdr:sp macro="" textlink="">
      <xdr:nvSpPr>
        <xdr:cNvPr id="26" name="Rectangle 25" descr="Hierarchy Level 2 Item 5">
          <a:extLst>
            <a:ext uri="{FF2B5EF4-FFF2-40B4-BE49-F238E27FC236}">
              <a16:creationId xmlns:a16="http://schemas.microsoft.com/office/drawing/2014/main" id="{BC13887C-28FD-4185-9B1E-444E1F5A2C92}"/>
            </a:ext>
          </a:extLst>
        </xdr:cNvPr>
        <xdr:cNvSpPr/>
      </xdr:nvSpPr>
      <xdr:spPr>
        <a:xfrm>
          <a:off x="2152651" y="5895975"/>
          <a:ext cx="6181724" cy="285750"/>
        </a:xfrm>
        <a:prstGeom prst="rect">
          <a:avLst/>
        </a:prstGeom>
        <a:solidFill>
          <a:srgbClr val="92D05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900" b="0" kern="1200">
              <a:solidFill>
                <a:prstClr val="black"/>
              </a:solidFill>
            </a:rPr>
            <a:t>HLTA SO1</a:t>
          </a:r>
          <a:r>
            <a:rPr lang="en-GB" sz="900" b="0" kern="1200" baseline="0">
              <a:solidFill>
                <a:prstClr val="black"/>
              </a:solidFill>
            </a:rPr>
            <a:t> 0.4 TTO 80% class-based </a:t>
          </a:r>
          <a:endParaRPr lang="en-GB" sz="900" b="0" kern="1200">
            <a:solidFill>
              <a:prstClr val="black"/>
            </a:solidFill>
          </a:endParaRPr>
        </a:p>
      </xdr:txBody>
    </xdr:sp>
    <xdr:clientData/>
  </xdr:twoCellAnchor>
  <xdr:twoCellAnchor>
    <xdr:from>
      <xdr:col>11</xdr:col>
      <xdr:colOff>125291</xdr:colOff>
      <xdr:row>21</xdr:row>
      <xdr:rowOff>127024</xdr:rowOff>
    </xdr:from>
    <xdr:to>
      <xdr:col>12</xdr:col>
      <xdr:colOff>152400</xdr:colOff>
      <xdr:row>25</xdr:row>
      <xdr:rowOff>142876</xdr:rowOff>
    </xdr:to>
    <xdr:sp macro="" textlink="">
      <xdr:nvSpPr>
        <xdr:cNvPr id="27" name="Rectangle 26" descr="Hierarchy Level 2 Item 5">
          <a:extLst>
            <a:ext uri="{FF2B5EF4-FFF2-40B4-BE49-F238E27FC236}">
              <a16:creationId xmlns:a16="http://schemas.microsoft.com/office/drawing/2014/main" id="{FDCDAEDA-8475-4033-8DA5-EE52D941912C}"/>
            </a:ext>
          </a:extLst>
        </xdr:cNvPr>
        <xdr:cNvSpPr/>
      </xdr:nvSpPr>
      <xdr:spPr>
        <a:xfrm>
          <a:off x="7040441" y="3937024"/>
          <a:ext cx="655759" cy="777852"/>
        </a:xfrm>
        <a:prstGeom prst="rect">
          <a:avLst/>
        </a:prstGeom>
        <a:solidFill>
          <a:sysClr val="window" lastClr="FFFFFF">
            <a:lumMod val="85000"/>
          </a:sys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Y4/5/6 TA</a:t>
          </a:r>
        </a:p>
        <a:p>
          <a:pPr marL="0" lvl="0" indent="0" algn="ctr" defTabSz="577850" rtl="0">
            <a:lnSpc>
              <a:spcPct val="90000"/>
            </a:lnSpc>
            <a:spcBef>
              <a:spcPct val="0"/>
            </a:spcBef>
            <a:spcAft>
              <a:spcPct val="35000"/>
            </a:spcAft>
            <a:buNone/>
          </a:pPr>
          <a:r>
            <a:rPr lang="en-GB" sz="1000" b="0" kern="1200">
              <a:solidFill>
                <a:prstClr val="black"/>
              </a:solidFill>
            </a:rPr>
            <a:t>1FTE SC4</a:t>
          </a:r>
        </a:p>
        <a:p>
          <a:pPr marL="0" lvl="0" indent="0" algn="ctr" defTabSz="577850" rtl="0">
            <a:lnSpc>
              <a:spcPct val="90000"/>
            </a:lnSpc>
            <a:spcBef>
              <a:spcPct val="0"/>
            </a:spcBef>
            <a:spcAft>
              <a:spcPct val="35000"/>
            </a:spcAft>
            <a:buNone/>
          </a:pPr>
          <a:r>
            <a:rPr lang="en-GB" sz="1000" b="0" kern="1200">
              <a:solidFill>
                <a:prstClr val="black"/>
              </a:solidFill>
            </a:rPr>
            <a:t>TTO</a:t>
          </a:r>
        </a:p>
        <a:p>
          <a:pPr marL="0" lvl="0" indent="0" algn="ctr" defTabSz="577850" rtl="0">
            <a:lnSpc>
              <a:spcPct val="90000"/>
            </a:lnSpc>
            <a:spcBef>
              <a:spcPct val="0"/>
            </a:spcBef>
            <a:spcAft>
              <a:spcPct val="35000"/>
            </a:spcAft>
            <a:buNone/>
          </a:pPr>
          <a:endParaRPr lang="en-GB" sz="1000" b="0" kern="1200">
            <a:solidFill>
              <a:prstClr val="black"/>
            </a:solidFill>
          </a:endParaRPr>
        </a:p>
      </xdr:txBody>
    </xdr:sp>
    <xdr:clientData/>
  </xdr:twoCellAnchor>
  <xdr:twoCellAnchor>
    <xdr:from>
      <xdr:col>0</xdr:col>
      <xdr:colOff>586680</xdr:colOff>
      <xdr:row>22</xdr:row>
      <xdr:rowOff>9851</xdr:rowOff>
    </xdr:from>
    <xdr:to>
      <xdr:col>1</xdr:col>
      <xdr:colOff>612173</xdr:colOff>
      <xdr:row>24</xdr:row>
      <xdr:rowOff>111432</xdr:rowOff>
    </xdr:to>
    <xdr:sp macro="" textlink="">
      <xdr:nvSpPr>
        <xdr:cNvPr id="28" name="Rectangle 27" descr="Hierarchy Sub Level">
          <a:extLst>
            <a:ext uri="{FF2B5EF4-FFF2-40B4-BE49-F238E27FC236}">
              <a16:creationId xmlns:a16="http://schemas.microsoft.com/office/drawing/2014/main" id="{D60B9475-121F-4101-814C-590AF299238F}"/>
            </a:ext>
          </a:extLst>
        </xdr:cNvPr>
        <xdr:cNvSpPr/>
      </xdr:nvSpPr>
      <xdr:spPr>
        <a:xfrm>
          <a:off x="586680" y="4010351"/>
          <a:ext cx="654143" cy="482581"/>
        </a:xfrm>
        <a:prstGeom prst="rect">
          <a:avLst/>
        </a:prstGeom>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AO SC5 0.57 TTO</a:t>
          </a:r>
          <a:r>
            <a:rPr lang="en-GB" sz="1300">
              <a:solidFill>
                <a:prstClr val="black"/>
              </a:solidFill>
            </a:rPr>
            <a:t> </a:t>
          </a:r>
          <a:endParaRPr lang="en-GB" sz="1300" b="0" kern="1200">
            <a:solidFill>
              <a:prstClr val="black"/>
            </a:solidFill>
          </a:endParaRPr>
        </a:p>
      </xdr:txBody>
    </xdr:sp>
    <xdr:clientData/>
  </xdr:twoCellAnchor>
  <xdr:twoCellAnchor>
    <xdr:from>
      <xdr:col>17</xdr:col>
      <xdr:colOff>9683</xdr:colOff>
      <xdr:row>34</xdr:row>
      <xdr:rowOff>152399</xdr:rowOff>
    </xdr:from>
    <xdr:to>
      <xdr:col>18</xdr:col>
      <xdr:colOff>57150</xdr:colOff>
      <xdr:row>39</xdr:row>
      <xdr:rowOff>95250</xdr:rowOff>
    </xdr:to>
    <xdr:sp macro="" textlink="">
      <xdr:nvSpPr>
        <xdr:cNvPr id="29" name="Rectangle 28" descr="Hierarchy Level 2 Item 5">
          <a:extLst>
            <a:ext uri="{FF2B5EF4-FFF2-40B4-BE49-F238E27FC236}">
              <a16:creationId xmlns:a16="http://schemas.microsoft.com/office/drawing/2014/main" id="{48753CA2-D509-4771-87EA-8DD3B4287FAF}"/>
            </a:ext>
          </a:extLst>
        </xdr:cNvPr>
        <xdr:cNvSpPr/>
      </xdr:nvSpPr>
      <xdr:spPr>
        <a:xfrm>
          <a:off x="10696733" y="6438899"/>
          <a:ext cx="676117" cy="895351"/>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MDM 0.21 FTE SC4</a:t>
          </a:r>
        </a:p>
        <a:p>
          <a:pPr marL="0" lvl="0" indent="0" algn="ctr" defTabSz="577850" rtl="0">
            <a:lnSpc>
              <a:spcPct val="90000"/>
            </a:lnSpc>
            <a:spcBef>
              <a:spcPct val="0"/>
            </a:spcBef>
            <a:spcAft>
              <a:spcPct val="35000"/>
            </a:spcAft>
            <a:buNone/>
          </a:pPr>
          <a:r>
            <a:rPr lang="en-GB" sz="1000" b="0" kern="1200">
              <a:solidFill>
                <a:prstClr val="black"/>
              </a:solidFill>
            </a:rPr>
            <a:t>TTO </a:t>
          </a:r>
        </a:p>
      </xdr:txBody>
    </xdr:sp>
    <xdr:clientData/>
  </xdr:twoCellAnchor>
  <xdr:twoCellAnchor>
    <xdr:from>
      <xdr:col>9</xdr:col>
      <xdr:colOff>38101</xdr:colOff>
      <xdr:row>10</xdr:row>
      <xdr:rowOff>41673</xdr:rowOff>
    </xdr:from>
    <xdr:to>
      <xdr:col>10</xdr:col>
      <xdr:colOff>531851</xdr:colOff>
      <xdr:row>12</xdr:row>
      <xdr:rowOff>123825</xdr:rowOff>
    </xdr:to>
    <xdr:sp macro="" textlink="">
      <xdr:nvSpPr>
        <xdr:cNvPr id="30" name="Rectangle 29" descr="Hierarchy Level 2 Item 3">
          <a:extLst>
            <a:ext uri="{FF2B5EF4-FFF2-40B4-BE49-F238E27FC236}">
              <a16:creationId xmlns:a16="http://schemas.microsoft.com/office/drawing/2014/main" id="{CE146C87-C745-464E-BA4D-1373F672C9CB}"/>
            </a:ext>
          </a:extLst>
        </xdr:cNvPr>
        <xdr:cNvSpPr/>
      </xdr:nvSpPr>
      <xdr:spPr>
        <a:xfrm>
          <a:off x="5695951" y="1756173"/>
          <a:ext cx="1122400" cy="463152"/>
        </a:xfrm>
        <a:prstGeom prst="rect">
          <a:avLst/>
        </a:prstGeom>
        <a:solidFill>
          <a:srgbClr val="00B0F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DHT L14 1FTE</a:t>
          </a:r>
        </a:p>
      </xdr:txBody>
    </xdr:sp>
    <xdr:clientData/>
  </xdr:twoCellAnchor>
  <xdr:twoCellAnchor>
    <xdr:from>
      <xdr:col>6</xdr:col>
      <xdr:colOff>406448</xdr:colOff>
      <xdr:row>36</xdr:row>
      <xdr:rowOff>5701</xdr:rowOff>
    </xdr:from>
    <xdr:to>
      <xdr:col>9</xdr:col>
      <xdr:colOff>304800</xdr:colOff>
      <xdr:row>40</xdr:row>
      <xdr:rowOff>47625</xdr:rowOff>
    </xdr:to>
    <xdr:sp macro="" textlink="">
      <xdr:nvSpPr>
        <xdr:cNvPr id="31" name="Rectangle 30" descr="Hierarchy Level 2 Item 3">
          <a:extLst>
            <a:ext uri="{FF2B5EF4-FFF2-40B4-BE49-F238E27FC236}">
              <a16:creationId xmlns:a16="http://schemas.microsoft.com/office/drawing/2014/main" id="{B37E9784-AA93-4AFB-9DB3-87112F36F128}"/>
            </a:ext>
          </a:extLst>
        </xdr:cNvPr>
        <xdr:cNvSpPr/>
      </xdr:nvSpPr>
      <xdr:spPr>
        <a:xfrm>
          <a:off x="4178348" y="6673201"/>
          <a:ext cx="1784302" cy="803924"/>
        </a:xfrm>
        <a:prstGeom prst="rect">
          <a:avLst/>
        </a:prstGeom>
        <a:solidFill>
          <a:srgbClr val="FFFF0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Pastoral</a:t>
          </a:r>
          <a:r>
            <a:rPr lang="en-GB" sz="1000" baseline="0">
              <a:solidFill>
                <a:prstClr val="black"/>
              </a:solidFill>
            </a:rPr>
            <a:t> </a:t>
          </a:r>
          <a:r>
            <a:rPr lang="en-GB" sz="1000">
              <a:solidFill>
                <a:prstClr val="black"/>
              </a:solidFill>
            </a:rPr>
            <a:t>&amp; Welfare Lead</a:t>
          </a:r>
          <a:r>
            <a:rPr lang="en-GB" sz="1000" baseline="0">
              <a:solidFill>
                <a:prstClr val="black"/>
              </a:solidFill>
            </a:rPr>
            <a:t> </a:t>
          </a:r>
          <a:r>
            <a:rPr lang="en-GB" sz="1000">
              <a:solidFill>
                <a:prstClr val="black"/>
              </a:solidFill>
            </a:rPr>
            <a:t>  1FTE PO3</a:t>
          </a:r>
        </a:p>
        <a:p>
          <a:pPr marL="0" lvl="0" indent="0" algn="ctr" defTabSz="577850" rtl="0">
            <a:lnSpc>
              <a:spcPct val="90000"/>
            </a:lnSpc>
            <a:spcBef>
              <a:spcPct val="0"/>
            </a:spcBef>
            <a:spcAft>
              <a:spcPct val="35000"/>
            </a:spcAft>
            <a:buNone/>
          </a:pPr>
          <a:r>
            <a:rPr lang="en-GB" sz="1000" b="0" kern="1200">
              <a:solidFill>
                <a:prstClr val="black"/>
              </a:solidFill>
            </a:rPr>
            <a:t>TTO</a:t>
          </a:r>
        </a:p>
      </xdr:txBody>
    </xdr:sp>
    <xdr:clientData/>
  </xdr:twoCellAnchor>
  <xdr:twoCellAnchor>
    <xdr:from>
      <xdr:col>0</xdr:col>
      <xdr:colOff>571500</xdr:colOff>
      <xdr:row>11</xdr:row>
      <xdr:rowOff>1</xdr:rowOff>
    </xdr:from>
    <xdr:to>
      <xdr:col>2</xdr:col>
      <xdr:colOff>31148</xdr:colOff>
      <xdr:row>13</xdr:row>
      <xdr:rowOff>175419</xdr:rowOff>
    </xdr:to>
    <xdr:sp macro="" textlink="">
      <xdr:nvSpPr>
        <xdr:cNvPr id="32" name="Rectangle 31" descr="Hierarchy Sub Level">
          <a:extLst>
            <a:ext uri="{FF2B5EF4-FFF2-40B4-BE49-F238E27FC236}">
              <a16:creationId xmlns:a16="http://schemas.microsoft.com/office/drawing/2014/main" id="{7165BB5A-DA4D-4F65-9A92-9CBB472E2AF8}"/>
            </a:ext>
          </a:extLst>
        </xdr:cNvPr>
        <xdr:cNvSpPr/>
      </xdr:nvSpPr>
      <xdr:spPr>
        <a:xfrm>
          <a:off x="571500" y="1905001"/>
          <a:ext cx="716948" cy="556418"/>
        </a:xfrm>
        <a:prstGeom prst="rect">
          <a:avLst/>
        </a:prstGeom>
        <a:solidFill>
          <a:schemeClr val="accent1">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SBM PO6 1FTE TTO+3</a:t>
          </a:r>
          <a:endParaRPr lang="en-GB" sz="1000" b="0" kern="1200">
            <a:solidFill>
              <a:prstClr val="black"/>
            </a:solidFill>
          </a:endParaRPr>
        </a:p>
      </xdr:txBody>
    </xdr:sp>
    <xdr:clientData/>
  </xdr:twoCellAnchor>
  <xdr:twoCellAnchor>
    <xdr:from>
      <xdr:col>3</xdr:col>
      <xdr:colOff>228600</xdr:colOff>
      <xdr:row>21</xdr:row>
      <xdr:rowOff>9791</xdr:rowOff>
    </xdr:from>
    <xdr:to>
      <xdr:col>4</xdr:col>
      <xdr:colOff>438150</xdr:colOff>
      <xdr:row>25</xdr:row>
      <xdr:rowOff>85725</xdr:rowOff>
    </xdr:to>
    <xdr:sp macro="" textlink="">
      <xdr:nvSpPr>
        <xdr:cNvPr id="33" name="Rectangle 32" descr="Hierarchy Level 2 Item 5">
          <a:extLst>
            <a:ext uri="{FF2B5EF4-FFF2-40B4-BE49-F238E27FC236}">
              <a16:creationId xmlns:a16="http://schemas.microsoft.com/office/drawing/2014/main" id="{9939AFD5-FDC7-492B-843B-B008CDE5C368}"/>
            </a:ext>
          </a:extLst>
        </xdr:cNvPr>
        <xdr:cNvSpPr/>
      </xdr:nvSpPr>
      <xdr:spPr>
        <a:xfrm>
          <a:off x="2114550" y="3819791"/>
          <a:ext cx="838200" cy="837934"/>
        </a:xfrm>
        <a:prstGeom prst="rect">
          <a:avLst/>
        </a:prstGeom>
        <a:solidFill>
          <a:srgbClr val="4EB3CF">
            <a:lumMod val="75000"/>
          </a:srgb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EY</a:t>
          </a:r>
          <a:r>
            <a:rPr lang="en-GB" sz="1000" baseline="0">
              <a:solidFill>
                <a:prstClr val="black"/>
              </a:solidFill>
            </a:rPr>
            <a:t> </a:t>
          </a:r>
          <a:r>
            <a:rPr lang="en-GB" sz="1000">
              <a:solidFill>
                <a:prstClr val="black"/>
              </a:solidFill>
            </a:rPr>
            <a:t>Educator </a:t>
          </a:r>
          <a:endParaRPr lang="en-GB" sz="1000" b="1" kern="1200" baseline="0">
            <a:solidFill>
              <a:prstClr val="black"/>
            </a:solidFill>
          </a:endParaRPr>
        </a:p>
        <a:p>
          <a:pPr marL="0" lvl="0" indent="0" algn="ctr" defTabSz="577850" rtl="0">
            <a:lnSpc>
              <a:spcPct val="90000"/>
            </a:lnSpc>
            <a:spcBef>
              <a:spcPct val="0"/>
            </a:spcBef>
            <a:spcAft>
              <a:spcPct val="35000"/>
            </a:spcAft>
            <a:buNone/>
          </a:pPr>
          <a:r>
            <a:rPr lang="en-GB" sz="1000" b="0" kern="1200" baseline="0">
              <a:solidFill>
                <a:prstClr val="black"/>
              </a:solidFill>
            </a:rPr>
            <a:t>1 FTE SC6</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6</xdr:col>
      <xdr:colOff>142875</xdr:colOff>
      <xdr:row>16</xdr:row>
      <xdr:rowOff>19050</xdr:rowOff>
    </xdr:from>
    <xdr:to>
      <xdr:col>7</xdr:col>
      <xdr:colOff>176915</xdr:colOff>
      <xdr:row>20</xdr:row>
      <xdr:rowOff>171450</xdr:rowOff>
    </xdr:to>
    <xdr:sp macro="" textlink="">
      <xdr:nvSpPr>
        <xdr:cNvPr id="34" name="Rectangle 33" descr="Hierarchy Level 2 Item 5">
          <a:extLst>
            <a:ext uri="{FF2B5EF4-FFF2-40B4-BE49-F238E27FC236}">
              <a16:creationId xmlns:a16="http://schemas.microsoft.com/office/drawing/2014/main" id="{1C05EB33-7F6D-4254-8B3F-098304787FA9}"/>
            </a:ext>
          </a:extLst>
        </xdr:cNvPr>
        <xdr:cNvSpPr/>
      </xdr:nvSpPr>
      <xdr:spPr>
        <a:xfrm>
          <a:off x="3914775" y="2876550"/>
          <a:ext cx="662690" cy="914400"/>
        </a:xfrm>
        <a:prstGeom prst="rect">
          <a:avLst/>
        </a:prstGeom>
        <a:solidFill>
          <a:srgbClr val="4EB3CF">
            <a:lumMod val="75000"/>
          </a:srgb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Yr1</a:t>
          </a:r>
          <a:r>
            <a:rPr lang="en-GB" sz="1000" baseline="0">
              <a:solidFill>
                <a:prstClr val="black"/>
              </a:solidFill>
            </a:rPr>
            <a:t> Teacher MPR 6 </a:t>
          </a:r>
        </a:p>
        <a:p>
          <a:pPr marL="0" lvl="0" indent="0" algn="ctr" defTabSz="577850" rtl="0">
            <a:lnSpc>
              <a:spcPct val="90000"/>
            </a:lnSpc>
            <a:spcBef>
              <a:spcPct val="0"/>
            </a:spcBef>
            <a:spcAft>
              <a:spcPct val="35000"/>
            </a:spcAft>
            <a:buNone/>
          </a:pPr>
          <a:r>
            <a:rPr lang="en-GB" sz="1000" baseline="0">
              <a:solidFill>
                <a:prstClr val="black"/>
              </a:solidFill>
            </a:rPr>
            <a:t>TLR 2.1</a:t>
          </a:r>
        </a:p>
        <a:p>
          <a:pPr marL="0" lvl="0" indent="0" algn="ctr" defTabSz="577850" rtl="0">
            <a:lnSpc>
              <a:spcPct val="90000"/>
            </a:lnSpc>
            <a:spcBef>
              <a:spcPct val="0"/>
            </a:spcBef>
            <a:spcAft>
              <a:spcPct val="35000"/>
            </a:spcAft>
            <a:buNone/>
          </a:pPr>
          <a:r>
            <a:rPr lang="en-GB" sz="1000" baseline="0">
              <a:solidFill>
                <a:prstClr val="black"/>
              </a:solidFill>
            </a:rPr>
            <a:t>1FTE </a:t>
          </a:r>
          <a:endParaRPr lang="en-GB" sz="1000" b="0" kern="1200">
            <a:solidFill>
              <a:prstClr val="black"/>
            </a:solidFill>
          </a:endParaRPr>
        </a:p>
      </xdr:txBody>
    </xdr:sp>
    <xdr:clientData/>
  </xdr:twoCellAnchor>
  <xdr:twoCellAnchor>
    <xdr:from>
      <xdr:col>3</xdr:col>
      <xdr:colOff>271993</xdr:colOff>
      <xdr:row>25</xdr:row>
      <xdr:rowOff>123826</xdr:rowOff>
    </xdr:from>
    <xdr:to>
      <xdr:col>4</xdr:col>
      <xdr:colOff>419100</xdr:colOff>
      <xdr:row>29</xdr:row>
      <xdr:rowOff>161926</xdr:rowOff>
    </xdr:to>
    <xdr:sp macro="" textlink="">
      <xdr:nvSpPr>
        <xdr:cNvPr id="35" name="Rectangle 34" descr="Hierarchy Level 2 Item 5">
          <a:extLst>
            <a:ext uri="{FF2B5EF4-FFF2-40B4-BE49-F238E27FC236}">
              <a16:creationId xmlns:a16="http://schemas.microsoft.com/office/drawing/2014/main" id="{62AE8C6E-866E-4C9E-90C6-8454EC7A3587}"/>
            </a:ext>
          </a:extLst>
        </xdr:cNvPr>
        <xdr:cNvSpPr/>
      </xdr:nvSpPr>
      <xdr:spPr>
        <a:xfrm>
          <a:off x="2157943" y="4695826"/>
          <a:ext cx="775757" cy="800100"/>
        </a:xfrm>
        <a:prstGeom prst="rect">
          <a:avLst/>
        </a:prstGeom>
        <a:solidFill>
          <a:srgbClr val="66FFFF"/>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EYFS</a:t>
          </a:r>
          <a:r>
            <a:rPr lang="en-GB" sz="1000" baseline="0">
              <a:solidFill>
                <a:prstClr val="black"/>
              </a:solidFill>
            </a:rPr>
            <a:t> SEN</a:t>
          </a:r>
        </a:p>
        <a:p>
          <a:pPr marL="0" lvl="0" indent="0" algn="ctr" defTabSz="577850" rtl="0">
            <a:lnSpc>
              <a:spcPct val="90000"/>
            </a:lnSpc>
            <a:spcBef>
              <a:spcPct val="0"/>
            </a:spcBef>
            <a:spcAft>
              <a:spcPct val="35000"/>
            </a:spcAft>
            <a:buNone/>
          </a:pPr>
          <a:r>
            <a:rPr lang="en-GB" sz="1000">
              <a:solidFill>
                <a:prstClr val="black"/>
              </a:solidFill>
            </a:rPr>
            <a:t>1FTE SC6</a:t>
          </a:r>
        </a:p>
        <a:p>
          <a:pPr marL="0" lvl="0" indent="0" algn="ctr" defTabSz="577850" rtl="0">
            <a:lnSpc>
              <a:spcPct val="90000"/>
            </a:lnSpc>
            <a:spcBef>
              <a:spcPct val="0"/>
            </a:spcBef>
            <a:spcAft>
              <a:spcPct val="35000"/>
            </a:spcAft>
            <a:buNone/>
          </a:pPr>
          <a:r>
            <a:rPr lang="en-GB" sz="1000">
              <a:solidFill>
                <a:prstClr val="black"/>
              </a:solidFill>
            </a:rPr>
            <a:t>SEN</a:t>
          </a:r>
          <a:r>
            <a:rPr lang="en-GB" sz="1000" baseline="0">
              <a:solidFill>
                <a:prstClr val="black"/>
              </a:solidFill>
            </a:rPr>
            <a:t> allowance</a:t>
          </a:r>
          <a:r>
            <a:rPr lang="en-GB" sz="1000">
              <a:solidFill>
                <a:prstClr val="black"/>
              </a:solidFill>
            </a:rPr>
            <a:t> TTO </a:t>
          </a:r>
          <a:endParaRPr lang="en-GB" sz="1000" b="0" kern="1200">
            <a:solidFill>
              <a:prstClr val="black"/>
            </a:solidFill>
          </a:endParaRPr>
        </a:p>
      </xdr:txBody>
    </xdr:sp>
    <xdr:clientData/>
  </xdr:twoCellAnchor>
  <xdr:twoCellAnchor>
    <xdr:from>
      <xdr:col>7</xdr:col>
      <xdr:colOff>290566</xdr:colOff>
      <xdr:row>21</xdr:row>
      <xdr:rowOff>38100</xdr:rowOff>
    </xdr:from>
    <xdr:to>
      <xdr:col>8</xdr:col>
      <xdr:colOff>316876</xdr:colOff>
      <xdr:row>25</xdr:row>
      <xdr:rowOff>66675</xdr:rowOff>
    </xdr:to>
    <xdr:sp macro="" textlink="">
      <xdr:nvSpPr>
        <xdr:cNvPr id="36" name="Rectangle 35" descr="Hierarchy Level 2 Item 5">
          <a:extLst>
            <a:ext uri="{FF2B5EF4-FFF2-40B4-BE49-F238E27FC236}">
              <a16:creationId xmlns:a16="http://schemas.microsoft.com/office/drawing/2014/main" id="{4F7166C9-5230-4222-A86F-D461D828BC1A}"/>
            </a:ext>
          </a:extLst>
        </xdr:cNvPr>
        <xdr:cNvSpPr/>
      </xdr:nvSpPr>
      <xdr:spPr>
        <a:xfrm>
          <a:off x="4691116" y="3848100"/>
          <a:ext cx="654960" cy="790575"/>
        </a:xfrm>
        <a:prstGeom prst="rect">
          <a:avLst/>
        </a:prstGeom>
        <a:solidFill>
          <a:srgbClr val="92D05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TA</a:t>
          </a:r>
        </a:p>
        <a:p>
          <a:pPr marL="0" lvl="0" indent="0" algn="ctr" defTabSz="577850" rtl="0">
            <a:lnSpc>
              <a:spcPct val="90000"/>
            </a:lnSpc>
            <a:spcBef>
              <a:spcPct val="0"/>
            </a:spcBef>
            <a:spcAft>
              <a:spcPct val="35000"/>
            </a:spcAft>
            <a:buNone/>
          </a:pPr>
          <a:r>
            <a:rPr lang="en-GB" sz="1000" b="0" kern="1200">
              <a:solidFill>
                <a:prstClr val="black"/>
              </a:solidFill>
            </a:rPr>
            <a:t>1FTE</a:t>
          </a:r>
          <a:r>
            <a:rPr lang="en-GB" sz="1000" b="0" kern="1200" baseline="0">
              <a:solidFill>
                <a:prstClr val="black"/>
              </a:solidFill>
            </a:rPr>
            <a:t> SC4</a:t>
          </a:r>
          <a:r>
            <a:rPr lang="en-GB" sz="1000" b="0" kern="1200">
              <a:solidFill>
                <a:prstClr val="black"/>
              </a:solidFill>
            </a:rPr>
            <a:t>  </a:t>
          </a:r>
        </a:p>
        <a:p>
          <a:pPr marL="0" lvl="0" indent="0" algn="ctr" defTabSz="577850" rtl="0">
            <a:lnSpc>
              <a:spcPct val="90000"/>
            </a:lnSpc>
            <a:spcBef>
              <a:spcPct val="0"/>
            </a:spcBef>
            <a:spcAft>
              <a:spcPct val="35000"/>
            </a:spcAft>
            <a:buNone/>
          </a:pPr>
          <a:r>
            <a:rPr lang="en-GB" sz="1000" b="0" kern="1200">
              <a:solidFill>
                <a:prstClr val="black"/>
              </a:solidFill>
            </a:rPr>
            <a:t>TT0</a:t>
          </a:r>
        </a:p>
      </xdr:txBody>
    </xdr:sp>
    <xdr:clientData/>
  </xdr:twoCellAnchor>
  <xdr:twoCellAnchor>
    <xdr:from>
      <xdr:col>8</xdr:col>
      <xdr:colOff>457201</xdr:colOff>
      <xdr:row>21</xdr:row>
      <xdr:rowOff>76199</xdr:rowOff>
    </xdr:from>
    <xdr:to>
      <xdr:col>9</xdr:col>
      <xdr:colOff>542925</xdr:colOff>
      <xdr:row>25</xdr:row>
      <xdr:rowOff>95250</xdr:rowOff>
    </xdr:to>
    <xdr:sp macro="" textlink="">
      <xdr:nvSpPr>
        <xdr:cNvPr id="37" name="Rectangle 36" descr="Hierarchy Level 2 Item 5">
          <a:extLst>
            <a:ext uri="{FF2B5EF4-FFF2-40B4-BE49-F238E27FC236}">
              <a16:creationId xmlns:a16="http://schemas.microsoft.com/office/drawing/2014/main" id="{B6A2B173-9CA6-4869-8273-E2DA66F42D8E}"/>
            </a:ext>
          </a:extLst>
        </xdr:cNvPr>
        <xdr:cNvSpPr/>
      </xdr:nvSpPr>
      <xdr:spPr>
        <a:xfrm>
          <a:off x="5486401" y="3886199"/>
          <a:ext cx="714374" cy="781051"/>
        </a:xfrm>
        <a:prstGeom prst="rect">
          <a:avLst/>
        </a:prstGeom>
        <a:solidFill>
          <a:srgbClr val="FFCCCC"/>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Y3</a:t>
          </a:r>
          <a:r>
            <a:rPr lang="en-GB" sz="1000" baseline="0">
              <a:solidFill>
                <a:prstClr val="black"/>
              </a:solidFill>
            </a:rPr>
            <a:t> TA </a:t>
          </a:r>
          <a:r>
            <a:rPr lang="en-GB" sz="1000" b="1">
              <a:solidFill>
                <a:prstClr val="black"/>
              </a:solidFill>
            </a:rPr>
            <a:t>AGENCY</a:t>
          </a:r>
        </a:p>
        <a:p>
          <a:pPr marL="0" lvl="0" indent="0" algn="ctr" defTabSz="577850" rtl="0">
            <a:lnSpc>
              <a:spcPct val="90000"/>
            </a:lnSpc>
            <a:spcBef>
              <a:spcPct val="0"/>
            </a:spcBef>
            <a:spcAft>
              <a:spcPct val="35000"/>
            </a:spcAft>
            <a:buNone/>
          </a:pPr>
          <a:r>
            <a:rPr lang="en-GB" sz="1000" b="0">
              <a:solidFill>
                <a:prstClr val="black"/>
              </a:solidFill>
            </a:rPr>
            <a:t>1</a:t>
          </a:r>
          <a:r>
            <a:rPr lang="en-GB" sz="1000" b="0" baseline="0">
              <a:solidFill>
                <a:prstClr val="black"/>
              </a:solidFill>
            </a:rPr>
            <a:t> </a:t>
          </a:r>
          <a:r>
            <a:rPr lang="en-GB" sz="1000" b="0">
              <a:solidFill>
                <a:prstClr val="black"/>
              </a:solidFill>
            </a:rPr>
            <a:t>FTE</a:t>
          </a:r>
        </a:p>
        <a:p>
          <a:pPr marL="0" lvl="0" indent="0" algn="ctr" defTabSz="577850" rtl="0">
            <a:lnSpc>
              <a:spcPct val="90000"/>
            </a:lnSpc>
            <a:spcBef>
              <a:spcPct val="0"/>
            </a:spcBef>
            <a:spcAft>
              <a:spcPct val="35000"/>
            </a:spcAft>
            <a:buNone/>
          </a:pPr>
          <a:r>
            <a:rPr lang="en-GB" sz="1000" b="0">
              <a:solidFill>
                <a:prstClr val="black"/>
              </a:solidFill>
            </a:rPr>
            <a:t>TTO</a:t>
          </a:r>
        </a:p>
      </xdr:txBody>
    </xdr:sp>
    <xdr:clientData/>
  </xdr:twoCellAnchor>
  <xdr:twoCellAnchor>
    <xdr:from>
      <xdr:col>9</xdr:col>
      <xdr:colOff>428625</xdr:colOff>
      <xdr:row>40</xdr:row>
      <xdr:rowOff>152399</xdr:rowOff>
    </xdr:from>
    <xdr:to>
      <xdr:col>11</xdr:col>
      <xdr:colOff>361950</xdr:colOff>
      <xdr:row>43</xdr:row>
      <xdr:rowOff>152399</xdr:rowOff>
    </xdr:to>
    <xdr:sp macro="" textlink="">
      <xdr:nvSpPr>
        <xdr:cNvPr id="38" name="Rectangle 37" descr="Hierarchy Level 2 Item 5">
          <a:extLst>
            <a:ext uri="{FF2B5EF4-FFF2-40B4-BE49-F238E27FC236}">
              <a16:creationId xmlns:a16="http://schemas.microsoft.com/office/drawing/2014/main" id="{F7BB7452-0665-4DE3-A345-B5B98302FD51}"/>
            </a:ext>
          </a:extLst>
        </xdr:cNvPr>
        <xdr:cNvSpPr/>
      </xdr:nvSpPr>
      <xdr:spPr>
        <a:xfrm>
          <a:off x="6086475" y="7581899"/>
          <a:ext cx="1190625" cy="57150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ASC 0.43 FTE SC4</a:t>
          </a:r>
          <a:r>
            <a:rPr lang="en-GB" sz="1000" baseline="0">
              <a:solidFill>
                <a:prstClr val="black"/>
              </a:solidFill>
            </a:rPr>
            <a:t> </a:t>
          </a:r>
          <a:r>
            <a:rPr lang="en-GB" sz="1000">
              <a:solidFill>
                <a:prstClr val="black"/>
              </a:solidFill>
            </a:rPr>
            <a:t> </a:t>
          </a:r>
        </a:p>
        <a:p>
          <a:pPr marL="0" lvl="0" indent="0" algn="ctr" defTabSz="577850" rtl="0">
            <a:lnSpc>
              <a:spcPct val="90000"/>
            </a:lnSpc>
            <a:spcBef>
              <a:spcPct val="0"/>
            </a:spcBef>
            <a:spcAft>
              <a:spcPct val="35000"/>
            </a:spcAft>
            <a:buNone/>
          </a:pPr>
          <a:r>
            <a:rPr lang="en-GB" sz="1000" b="0" kern="1200">
              <a:solidFill>
                <a:prstClr val="black"/>
              </a:solidFill>
            </a:rPr>
            <a:t>TTO</a:t>
          </a:r>
        </a:p>
      </xdr:txBody>
    </xdr:sp>
    <xdr:clientData/>
  </xdr:twoCellAnchor>
  <xdr:twoCellAnchor>
    <xdr:from>
      <xdr:col>14</xdr:col>
      <xdr:colOff>123825</xdr:colOff>
      <xdr:row>35</xdr:row>
      <xdr:rowOff>123825</xdr:rowOff>
    </xdr:from>
    <xdr:to>
      <xdr:col>15</xdr:col>
      <xdr:colOff>282027</xdr:colOff>
      <xdr:row>40</xdr:row>
      <xdr:rowOff>85725</xdr:rowOff>
    </xdr:to>
    <xdr:sp macro="" textlink="">
      <xdr:nvSpPr>
        <xdr:cNvPr id="39" name="Rectangle 38" descr="Hierarchy Level 2 Item 5">
          <a:extLst>
            <a:ext uri="{FF2B5EF4-FFF2-40B4-BE49-F238E27FC236}">
              <a16:creationId xmlns:a16="http://schemas.microsoft.com/office/drawing/2014/main" id="{757F9050-4F77-43A9-8A36-F1F125280134}"/>
            </a:ext>
          </a:extLst>
        </xdr:cNvPr>
        <xdr:cNvSpPr/>
      </xdr:nvSpPr>
      <xdr:spPr>
        <a:xfrm>
          <a:off x="8924925" y="6600825"/>
          <a:ext cx="786852" cy="91440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MDM</a:t>
          </a:r>
          <a:r>
            <a:rPr lang="en-GB" sz="1000" baseline="0">
              <a:solidFill>
                <a:prstClr val="black"/>
              </a:solidFill>
            </a:rPr>
            <a:t> 0.21 FTE SC4</a:t>
          </a:r>
        </a:p>
        <a:p>
          <a:pPr marL="0" lvl="0" indent="0" algn="ctr" defTabSz="577850" rtl="0">
            <a:lnSpc>
              <a:spcPct val="90000"/>
            </a:lnSpc>
            <a:spcBef>
              <a:spcPct val="0"/>
            </a:spcBef>
            <a:spcAft>
              <a:spcPct val="35000"/>
            </a:spcAft>
            <a:buNone/>
          </a:pPr>
          <a:r>
            <a:rPr lang="en-GB" sz="1000" baseline="0">
              <a:solidFill>
                <a:prstClr val="black"/>
              </a:solidFill>
            </a:rPr>
            <a:t>SEN allowance</a:t>
          </a:r>
        </a:p>
        <a:p>
          <a:pPr marL="0" lvl="0" indent="0" algn="ctr" defTabSz="577850" rtl="0">
            <a:lnSpc>
              <a:spcPct val="90000"/>
            </a:lnSpc>
            <a:spcBef>
              <a:spcPct val="0"/>
            </a:spcBef>
            <a:spcAft>
              <a:spcPct val="35000"/>
            </a:spcAft>
            <a:buNone/>
          </a:pPr>
          <a:r>
            <a:rPr lang="en-GB" sz="1000" baseline="0">
              <a:solidFill>
                <a:prstClr val="black"/>
              </a:solidFill>
            </a:rPr>
            <a:t>TTO</a:t>
          </a:r>
          <a:r>
            <a:rPr lang="en-GB" sz="1000">
              <a:solidFill>
                <a:prstClr val="black"/>
              </a:solidFill>
            </a:rPr>
            <a:t> </a:t>
          </a:r>
          <a:endParaRPr lang="en-GB" sz="1000" b="0" kern="1200">
            <a:solidFill>
              <a:prstClr val="black"/>
            </a:solidFill>
          </a:endParaRPr>
        </a:p>
      </xdr:txBody>
    </xdr:sp>
    <xdr:clientData/>
  </xdr:twoCellAnchor>
  <xdr:twoCellAnchor>
    <xdr:from>
      <xdr:col>15</xdr:col>
      <xdr:colOff>428625</xdr:colOff>
      <xdr:row>34</xdr:row>
      <xdr:rowOff>133350</xdr:rowOff>
    </xdr:from>
    <xdr:to>
      <xdr:col>16</xdr:col>
      <xdr:colOff>504825</xdr:colOff>
      <xdr:row>39</xdr:row>
      <xdr:rowOff>95250</xdr:rowOff>
    </xdr:to>
    <xdr:sp macro="" textlink="">
      <xdr:nvSpPr>
        <xdr:cNvPr id="40" name="Rectangle 39" descr="Hierarchy Level 2 Item 5">
          <a:extLst>
            <a:ext uri="{FF2B5EF4-FFF2-40B4-BE49-F238E27FC236}">
              <a16:creationId xmlns:a16="http://schemas.microsoft.com/office/drawing/2014/main" id="{9CE7EB40-B176-49AA-B96F-7E5F304D3D76}"/>
            </a:ext>
          </a:extLst>
        </xdr:cNvPr>
        <xdr:cNvSpPr/>
      </xdr:nvSpPr>
      <xdr:spPr>
        <a:xfrm>
          <a:off x="9858375" y="6419850"/>
          <a:ext cx="704850" cy="91440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MDM/BC</a:t>
          </a:r>
          <a:r>
            <a:rPr lang="en-GB" sz="1000" baseline="0">
              <a:solidFill>
                <a:prstClr val="black"/>
              </a:solidFill>
            </a:rPr>
            <a:t> 0.29 FTE</a:t>
          </a:r>
          <a:r>
            <a:rPr lang="en-GB" sz="1000" b="0" kern="1200" baseline="0">
              <a:solidFill>
                <a:prstClr val="black"/>
              </a:solidFill>
            </a:rPr>
            <a:t> SC4</a:t>
          </a:r>
        </a:p>
        <a:p>
          <a:pPr marL="0" lvl="0" indent="0" algn="ctr" defTabSz="577850" rtl="0">
            <a:lnSpc>
              <a:spcPct val="90000"/>
            </a:lnSpc>
            <a:spcBef>
              <a:spcPct val="0"/>
            </a:spcBef>
            <a:spcAft>
              <a:spcPct val="35000"/>
            </a:spcAft>
            <a:buNone/>
          </a:pPr>
          <a:r>
            <a:rPr lang="en-GB" sz="1000" b="0" kern="1200" baseline="0">
              <a:solidFill>
                <a:prstClr val="black"/>
              </a:solidFill>
            </a:rPr>
            <a:t>TTO</a:t>
          </a:r>
          <a:endParaRPr lang="en-GB" sz="1000" baseline="0">
            <a:solidFill>
              <a:prstClr val="black"/>
            </a:solidFill>
          </a:endParaRPr>
        </a:p>
      </xdr:txBody>
    </xdr:sp>
    <xdr:clientData/>
  </xdr:twoCellAnchor>
  <xdr:twoCellAnchor>
    <xdr:from>
      <xdr:col>9</xdr:col>
      <xdr:colOff>457199</xdr:colOff>
      <xdr:row>35</xdr:row>
      <xdr:rowOff>142875</xdr:rowOff>
    </xdr:from>
    <xdr:to>
      <xdr:col>13</xdr:col>
      <xdr:colOff>276225</xdr:colOff>
      <xdr:row>40</xdr:row>
      <xdr:rowOff>9525</xdr:rowOff>
    </xdr:to>
    <xdr:sp macro="" textlink="">
      <xdr:nvSpPr>
        <xdr:cNvPr id="41" name="Rectangle 40" descr="Hierarchy Level 2 Item 5">
          <a:extLst>
            <a:ext uri="{FF2B5EF4-FFF2-40B4-BE49-F238E27FC236}">
              <a16:creationId xmlns:a16="http://schemas.microsoft.com/office/drawing/2014/main" id="{53E8BD2E-91A6-4CEC-BB63-7D75B855A7FB}"/>
            </a:ext>
          </a:extLst>
        </xdr:cNvPr>
        <xdr:cNvSpPr/>
      </xdr:nvSpPr>
      <xdr:spPr>
        <a:xfrm>
          <a:off x="6115049" y="6619875"/>
          <a:ext cx="2333626" cy="81915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Extended</a:t>
          </a:r>
          <a:r>
            <a:rPr lang="en-GB" sz="1000" b="0" kern="1200" baseline="0">
              <a:solidFill>
                <a:prstClr val="black"/>
              </a:solidFill>
            </a:rPr>
            <a:t> Day Lead &amp; Learning Mentor 0.79 FTE SC6</a:t>
          </a:r>
        </a:p>
        <a:p>
          <a:pPr marL="0" lvl="0" indent="0" algn="ctr" defTabSz="577850" rtl="0">
            <a:lnSpc>
              <a:spcPct val="90000"/>
            </a:lnSpc>
            <a:spcBef>
              <a:spcPct val="0"/>
            </a:spcBef>
            <a:spcAft>
              <a:spcPct val="35000"/>
            </a:spcAft>
            <a:buNone/>
          </a:pPr>
          <a:r>
            <a:rPr lang="en-GB" sz="1000" b="0" kern="1200" baseline="0">
              <a:solidFill>
                <a:prstClr val="black"/>
              </a:solidFill>
            </a:rPr>
            <a:t>TTO</a:t>
          </a:r>
          <a:endParaRPr lang="en-GB" sz="1000" b="0" kern="1200">
            <a:solidFill>
              <a:prstClr val="black"/>
            </a:solidFill>
          </a:endParaRPr>
        </a:p>
      </xdr:txBody>
    </xdr:sp>
    <xdr:clientData/>
  </xdr:twoCellAnchor>
  <xdr:twoCellAnchor>
    <xdr:from>
      <xdr:col>4</xdr:col>
      <xdr:colOff>514350</xdr:colOff>
      <xdr:row>20</xdr:row>
      <xdr:rowOff>180975</xdr:rowOff>
    </xdr:from>
    <xdr:to>
      <xdr:col>6</xdr:col>
      <xdr:colOff>48115</xdr:colOff>
      <xdr:row>25</xdr:row>
      <xdr:rowOff>66675</xdr:rowOff>
    </xdr:to>
    <xdr:sp macro="" textlink="">
      <xdr:nvSpPr>
        <xdr:cNvPr id="42" name="Rectangle 41" descr="Hierarchy Level 2 Item 5">
          <a:extLst>
            <a:ext uri="{FF2B5EF4-FFF2-40B4-BE49-F238E27FC236}">
              <a16:creationId xmlns:a16="http://schemas.microsoft.com/office/drawing/2014/main" id="{AA2CA518-30AF-40C8-BB46-58FE2C9CFF81}"/>
            </a:ext>
          </a:extLst>
        </xdr:cNvPr>
        <xdr:cNvSpPr/>
      </xdr:nvSpPr>
      <xdr:spPr>
        <a:xfrm>
          <a:off x="3028950" y="3800475"/>
          <a:ext cx="791065" cy="838200"/>
        </a:xfrm>
        <a:prstGeom prst="rect">
          <a:avLst/>
        </a:prstGeom>
        <a:solidFill>
          <a:srgbClr val="FFC00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EY Educator</a:t>
          </a:r>
        </a:p>
        <a:p>
          <a:pPr marL="0" lvl="0" indent="0" algn="ctr" defTabSz="577850" rtl="0">
            <a:lnSpc>
              <a:spcPct val="90000"/>
            </a:lnSpc>
            <a:spcBef>
              <a:spcPct val="0"/>
            </a:spcBef>
            <a:spcAft>
              <a:spcPct val="35000"/>
            </a:spcAft>
            <a:buNone/>
          </a:pPr>
          <a:r>
            <a:rPr lang="en-GB" sz="1000" b="0" kern="1200" baseline="0">
              <a:solidFill>
                <a:prstClr val="black"/>
              </a:solidFill>
            </a:rPr>
            <a:t>1FTE SC5 TTO</a:t>
          </a:r>
          <a:endParaRPr lang="en-GB" sz="1000" b="0" kern="1200">
            <a:solidFill>
              <a:prstClr val="black"/>
            </a:solidFill>
          </a:endParaRPr>
        </a:p>
      </xdr:txBody>
    </xdr:sp>
    <xdr:clientData/>
  </xdr:twoCellAnchor>
  <xdr:twoCellAnchor>
    <xdr:from>
      <xdr:col>0</xdr:col>
      <xdr:colOff>609600</xdr:colOff>
      <xdr:row>25</xdr:row>
      <xdr:rowOff>9526</xdr:rowOff>
    </xdr:from>
    <xdr:to>
      <xdr:col>2</xdr:col>
      <xdr:colOff>19049</xdr:colOff>
      <xdr:row>27</xdr:row>
      <xdr:rowOff>180976</xdr:rowOff>
    </xdr:to>
    <xdr:sp macro="" textlink="">
      <xdr:nvSpPr>
        <xdr:cNvPr id="43" name="Rectangle 42" descr="Hierarchy Sub Level">
          <a:extLst>
            <a:ext uri="{FF2B5EF4-FFF2-40B4-BE49-F238E27FC236}">
              <a16:creationId xmlns:a16="http://schemas.microsoft.com/office/drawing/2014/main" id="{3F4154D0-0FE4-4260-82DB-04527089A1FD}"/>
            </a:ext>
          </a:extLst>
        </xdr:cNvPr>
        <xdr:cNvSpPr/>
      </xdr:nvSpPr>
      <xdr:spPr>
        <a:xfrm>
          <a:off x="609600" y="4581526"/>
          <a:ext cx="666749" cy="552450"/>
        </a:xfrm>
        <a:prstGeom prst="rect">
          <a:avLst/>
        </a:prstGeom>
        <a:solidFill>
          <a:schemeClr val="accent1">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PM SC5</a:t>
          </a:r>
          <a:r>
            <a:rPr lang="en-GB" sz="1000" baseline="0">
              <a:solidFill>
                <a:prstClr val="black"/>
              </a:solidFill>
            </a:rPr>
            <a:t> </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6</xdr:col>
      <xdr:colOff>85725</xdr:colOff>
      <xdr:row>25</xdr:row>
      <xdr:rowOff>161925</xdr:rowOff>
    </xdr:from>
    <xdr:to>
      <xdr:col>7</xdr:col>
      <xdr:colOff>158843</xdr:colOff>
      <xdr:row>29</xdr:row>
      <xdr:rowOff>180975</xdr:rowOff>
    </xdr:to>
    <xdr:sp macro="" textlink="">
      <xdr:nvSpPr>
        <xdr:cNvPr id="44" name="Rectangle 43" descr="Hierarchy Sub Level">
          <a:extLst>
            <a:ext uri="{FF2B5EF4-FFF2-40B4-BE49-F238E27FC236}">
              <a16:creationId xmlns:a16="http://schemas.microsoft.com/office/drawing/2014/main" id="{B76558D2-C71E-4144-9E51-0A85E3138E0A}"/>
            </a:ext>
          </a:extLst>
        </xdr:cNvPr>
        <xdr:cNvSpPr/>
      </xdr:nvSpPr>
      <xdr:spPr>
        <a:xfrm>
          <a:off x="3857625" y="4733925"/>
          <a:ext cx="701768" cy="781050"/>
        </a:xfrm>
        <a:prstGeom prst="rect">
          <a:avLst/>
        </a:prstGeom>
        <a:solidFill>
          <a:srgbClr val="66FFFF"/>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Y1 SEN</a:t>
          </a:r>
        </a:p>
        <a:p>
          <a:pPr marL="0" lvl="0" indent="0" algn="ctr" defTabSz="577850" rtl="0">
            <a:lnSpc>
              <a:spcPct val="90000"/>
            </a:lnSpc>
            <a:spcBef>
              <a:spcPct val="0"/>
            </a:spcBef>
            <a:spcAft>
              <a:spcPct val="35000"/>
            </a:spcAft>
            <a:buNone/>
          </a:pPr>
          <a:r>
            <a:rPr lang="en-GB" sz="1000">
              <a:solidFill>
                <a:prstClr val="black"/>
              </a:solidFill>
            </a:rPr>
            <a:t>1TFE SC4</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a:solidFill>
                <a:prstClr val="black"/>
              </a:solidFill>
            </a:rPr>
            <a:t> </a:t>
          </a:r>
          <a:endParaRPr lang="en-GB" sz="1000" b="0" kern="1200">
            <a:solidFill>
              <a:prstClr val="black"/>
            </a:solidFill>
          </a:endParaRPr>
        </a:p>
      </xdr:txBody>
    </xdr:sp>
    <xdr:clientData/>
  </xdr:twoCellAnchor>
  <xdr:twoCellAnchor>
    <xdr:from>
      <xdr:col>11</xdr:col>
      <xdr:colOff>561974</xdr:colOff>
      <xdr:row>26</xdr:row>
      <xdr:rowOff>9525</xdr:rowOff>
    </xdr:from>
    <xdr:to>
      <xdr:col>13</xdr:col>
      <xdr:colOff>76199</xdr:colOff>
      <xdr:row>30</xdr:row>
      <xdr:rowOff>38100</xdr:rowOff>
    </xdr:to>
    <xdr:sp macro="" textlink="">
      <xdr:nvSpPr>
        <xdr:cNvPr id="45" name="Rectangle 44" descr="Hierarchy Sub Level">
          <a:extLst>
            <a:ext uri="{FF2B5EF4-FFF2-40B4-BE49-F238E27FC236}">
              <a16:creationId xmlns:a16="http://schemas.microsoft.com/office/drawing/2014/main" id="{81C609E3-F852-4028-A1D2-7FCC9DED84AF}"/>
            </a:ext>
          </a:extLst>
        </xdr:cNvPr>
        <xdr:cNvSpPr/>
      </xdr:nvSpPr>
      <xdr:spPr>
        <a:xfrm>
          <a:off x="7477124" y="4772025"/>
          <a:ext cx="771525" cy="790575"/>
        </a:xfrm>
        <a:prstGeom prst="rect">
          <a:avLst/>
        </a:prstGeom>
        <a:solidFill>
          <a:srgbClr val="66FFFF"/>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Y5/6 SEN</a:t>
          </a:r>
        </a:p>
        <a:p>
          <a:pPr marL="0" lvl="0" indent="0" algn="ctr" defTabSz="577850" rtl="0">
            <a:lnSpc>
              <a:spcPct val="90000"/>
            </a:lnSpc>
            <a:spcBef>
              <a:spcPct val="0"/>
            </a:spcBef>
            <a:spcAft>
              <a:spcPct val="35000"/>
            </a:spcAft>
            <a:buNone/>
          </a:pPr>
          <a:r>
            <a:rPr lang="en-GB" sz="1000">
              <a:solidFill>
                <a:prstClr val="black"/>
              </a:solidFill>
            </a:rPr>
            <a:t>1TFE SC4</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a:solidFill>
                <a:prstClr val="black"/>
              </a:solidFill>
            </a:rPr>
            <a:t> </a:t>
          </a:r>
          <a:endParaRPr lang="en-GB" sz="1000" b="0" kern="1200">
            <a:solidFill>
              <a:prstClr val="black"/>
            </a:solidFill>
          </a:endParaRPr>
        </a:p>
      </xdr:txBody>
    </xdr:sp>
    <xdr:clientData/>
  </xdr:twoCellAnchor>
  <xdr:twoCellAnchor>
    <xdr:from>
      <xdr:col>15</xdr:col>
      <xdr:colOff>542926</xdr:colOff>
      <xdr:row>16</xdr:row>
      <xdr:rowOff>47625</xdr:rowOff>
    </xdr:from>
    <xdr:to>
      <xdr:col>17</xdr:col>
      <xdr:colOff>95250</xdr:colOff>
      <xdr:row>20</xdr:row>
      <xdr:rowOff>95250</xdr:rowOff>
    </xdr:to>
    <xdr:sp macro="" textlink="">
      <xdr:nvSpPr>
        <xdr:cNvPr id="46" name="Rectangle 45" descr="Hierarchy Level 2 Item 5">
          <a:extLst>
            <a:ext uri="{FF2B5EF4-FFF2-40B4-BE49-F238E27FC236}">
              <a16:creationId xmlns:a16="http://schemas.microsoft.com/office/drawing/2014/main" id="{1E34535A-A903-492D-9411-7B38424BBEC7}"/>
            </a:ext>
          </a:extLst>
        </xdr:cNvPr>
        <xdr:cNvSpPr/>
      </xdr:nvSpPr>
      <xdr:spPr>
        <a:xfrm>
          <a:off x="9972676" y="2905125"/>
          <a:ext cx="809624" cy="809625"/>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Room</a:t>
          </a:r>
          <a:r>
            <a:rPr lang="en-GB" sz="1000" b="0" kern="1200" baseline="0">
              <a:solidFill>
                <a:prstClr val="black"/>
              </a:solidFill>
            </a:rPr>
            <a:t> Lead 1 FTE SC6</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14</xdr:col>
      <xdr:colOff>257175</xdr:colOff>
      <xdr:row>16</xdr:row>
      <xdr:rowOff>53005</xdr:rowOff>
    </xdr:from>
    <xdr:to>
      <xdr:col>15</xdr:col>
      <xdr:colOff>371474</xdr:colOff>
      <xdr:row>20</xdr:row>
      <xdr:rowOff>114300</xdr:rowOff>
    </xdr:to>
    <xdr:sp macro="" textlink="">
      <xdr:nvSpPr>
        <xdr:cNvPr id="47" name="Rectangle 46" descr="Hierarchy Level 2 Item 5">
          <a:extLst>
            <a:ext uri="{FF2B5EF4-FFF2-40B4-BE49-F238E27FC236}">
              <a16:creationId xmlns:a16="http://schemas.microsoft.com/office/drawing/2014/main" id="{96C26857-D069-4AA5-90B5-7E749496368B}"/>
            </a:ext>
          </a:extLst>
        </xdr:cNvPr>
        <xdr:cNvSpPr/>
      </xdr:nvSpPr>
      <xdr:spPr>
        <a:xfrm>
          <a:off x="9058275" y="2910505"/>
          <a:ext cx="742949" cy="823295"/>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Early Years Educator</a:t>
          </a:r>
        </a:p>
        <a:p>
          <a:pPr marL="0" lvl="0" indent="0" algn="ctr" defTabSz="577850" rtl="0">
            <a:lnSpc>
              <a:spcPct val="90000"/>
            </a:lnSpc>
            <a:spcBef>
              <a:spcPct val="0"/>
            </a:spcBef>
            <a:spcAft>
              <a:spcPct val="35000"/>
            </a:spcAft>
            <a:buNone/>
          </a:pPr>
          <a:r>
            <a:rPr lang="en-GB" sz="1000">
              <a:solidFill>
                <a:prstClr val="black"/>
              </a:solidFill>
            </a:rPr>
            <a:t>1 FTE SC5</a:t>
          </a:r>
        </a:p>
        <a:p>
          <a:pPr marL="0" lvl="0" indent="0" algn="ctr" defTabSz="577850" rtl="0">
            <a:lnSpc>
              <a:spcPct val="90000"/>
            </a:lnSpc>
            <a:spcBef>
              <a:spcPct val="0"/>
            </a:spcBef>
            <a:spcAft>
              <a:spcPct val="35000"/>
            </a:spcAft>
            <a:buNone/>
          </a:pPr>
          <a:r>
            <a:rPr lang="en-GB" sz="1000">
              <a:solidFill>
                <a:prstClr val="black"/>
              </a:solidFill>
            </a:rPr>
            <a:t>AYR</a:t>
          </a:r>
        </a:p>
        <a:p>
          <a:pPr marL="0" lvl="0" indent="0" algn="ctr" defTabSz="577850" rtl="0">
            <a:lnSpc>
              <a:spcPct val="90000"/>
            </a:lnSpc>
            <a:spcBef>
              <a:spcPct val="0"/>
            </a:spcBef>
            <a:spcAft>
              <a:spcPct val="35000"/>
            </a:spcAft>
            <a:buNone/>
          </a:pPr>
          <a:r>
            <a:rPr lang="en-GB" sz="1000">
              <a:solidFill>
                <a:prstClr val="black"/>
              </a:solidFill>
            </a:rPr>
            <a:t> </a:t>
          </a:r>
          <a:endParaRPr lang="en-GB" sz="1000" b="0" kern="1200">
            <a:solidFill>
              <a:prstClr val="black"/>
            </a:solidFill>
          </a:endParaRPr>
        </a:p>
      </xdr:txBody>
    </xdr:sp>
    <xdr:clientData/>
  </xdr:twoCellAnchor>
  <xdr:twoCellAnchor>
    <xdr:from>
      <xdr:col>15</xdr:col>
      <xdr:colOff>590550</xdr:colOff>
      <xdr:row>20</xdr:row>
      <xdr:rowOff>171449</xdr:rowOff>
    </xdr:from>
    <xdr:to>
      <xdr:col>17</xdr:col>
      <xdr:colOff>142875</xdr:colOff>
      <xdr:row>25</xdr:row>
      <xdr:rowOff>123824</xdr:rowOff>
    </xdr:to>
    <xdr:sp macro="" textlink="">
      <xdr:nvSpPr>
        <xdr:cNvPr id="48" name="Rectangle 47" descr="Hierarchy Level 2 Item 5">
          <a:extLst>
            <a:ext uri="{FF2B5EF4-FFF2-40B4-BE49-F238E27FC236}">
              <a16:creationId xmlns:a16="http://schemas.microsoft.com/office/drawing/2014/main" id="{B7C0B18C-501C-4F1B-B0BC-4BB62092EA35}"/>
            </a:ext>
          </a:extLst>
        </xdr:cNvPr>
        <xdr:cNvSpPr/>
      </xdr:nvSpPr>
      <xdr:spPr>
        <a:xfrm>
          <a:off x="10020300" y="3790949"/>
          <a:ext cx="809625" cy="904875"/>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Early</a:t>
          </a:r>
          <a:r>
            <a:rPr lang="en-GB" sz="1000" baseline="0">
              <a:solidFill>
                <a:prstClr val="black"/>
              </a:solidFill>
            </a:rPr>
            <a:t> Years Educator</a:t>
          </a:r>
        </a:p>
        <a:p>
          <a:pPr marL="0" lvl="0" indent="0" algn="ctr" defTabSz="577850" rtl="0">
            <a:lnSpc>
              <a:spcPct val="90000"/>
            </a:lnSpc>
            <a:spcBef>
              <a:spcPct val="0"/>
            </a:spcBef>
            <a:spcAft>
              <a:spcPct val="35000"/>
            </a:spcAft>
            <a:buNone/>
          </a:pPr>
          <a:r>
            <a:rPr lang="en-GB" sz="1000" b="1" baseline="0">
              <a:solidFill>
                <a:prstClr val="black"/>
              </a:solidFill>
            </a:rPr>
            <a:t>VACANCY</a:t>
          </a:r>
        </a:p>
        <a:p>
          <a:pPr marL="0" lvl="0" indent="0" algn="ctr" defTabSz="577850" rtl="0">
            <a:lnSpc>
              <a:spcPct val="90000"/>
            </a:lnSpc>
            <a:spcBef>
              <a:spcPct val="0"/>
            </a:spcBef>
            <a:spcAft>
              <a:spcPct val="35000"/>
            </a:spcAft>
            <a:buNone/>
          </a:pPr>
          <a:r>
            <a:rPr lang="en-GB" sz="1000" b="0" kern="1200" baseline="0">
              <a:solidFill>
                <a:prstClr val="black"/>
              </a:solidFill>
            </a:rPr>
            <a:t>1 FTE SC3</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14</xdr:col>
      <xdr:colOff>257174</xdr:colOff>
      <xdr:row>26</xdr:row>
      <xdr:rowOff>19051</xdr:rowOff>
    </xdr:from>
    <xdr:to>
      <xdr:col>15</xdr:col>
      <xdr:colOff>419099</xdr:colOff>
      <xdr:row>30</xdr:row>
      <xdr:rowOff>133350</xdr:rowOff>
    </xdr:to>
    <xdr:sp macro="" textlink="">
      <xdr:nvSpPr>
        <xdr:cNvPr id="49" name="Rectangle 48" descr="Hierarchy Level 2 Item 5">
          <a:extLst>
            <a:ext uri="{FF2B5EF4-FFF2-40B4-BE49-F238E27FC236}">
              <a16:creationId xmlns:a16="http://schemas.microsoft.com/office/drawing/2014/main" id="{4FDB6F10-B3C7-46D8-A14B-6E6419BBC9EC}"/>
            </a:ext>
          </a:extLst>
        </xdr:cNvPr>
        <xdr:cNvSpPr/>
      </xdr:nvSpPr>
      <xdr:spPr>
        <a:xfrm>
          <a:off x="9058274" y="4781551"/>
          <a:ext cx="790575" cy="876299"/>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Early Years Educator</a:t>
          </a:r>
        </a:p>
        <a:p>
          <a:pPr marL="0" lvl="0" indent="0" algn="ctr" defTabSz="577850" rtl="0">
            <a:lnSpc>
              <a:spcPct val="90000"/>
            </a:lnSpc>
            <a:spcBef>
              <a:spcPct val="0"/>
            </a:spcBef>
            <a:spcAft>
              <a:spcPct val="35000"/>
            </a:spcAft>
            <a:buNone/>
          </a:pPr>
          <a:r>
            <a:rPr lang="en-GB" sz="1000" b="0" kern="1200">
              <a:solidFill>
                <a:prstClr val="black"/>
              </a:solidFill>
            </a:rPr>
            <a:t>1 FTE SC5</a:t>
          </a:r>
        </a:p>
        <a:p>
          <a:pPr marL="0" lvl="0" indent="0" algn="ctr" defTabSz="577850" rtl="0">
            <a:lnSpc>
              <a:spcPct val="90000"/>
            </a:lnSpc>
            <a:spcBef>
              <a:spcPct val="0"/>
            </a:spcBef>
            <a:spcAft>
              <a:spcPct val="35000"/>
            </a:spcAft>
            <a:buNone/>
          </a:pPr>
          <a:r>
            <a:rPr lang="en-GB" sz="1000" b="0" kern="1200">
              <a:solidFill>
                <a:prstClr val="black"/>
              </a:solidFill>
            </a:rPr>
            <a:t>TTO</a:t>
          </a:r>
        </a:p>
      </xdr:txBody>
    </xdr:sp>
    <xdr:clientData/>
  </xdr:twoCellAnchor>
  <xdr:twoCellAnchor>
    <xdr:from>
      <xdr:col>15</xdr:col>
      <xdr:colOff>590549</xdr:colOff>
      <xdr:row>26</xdr:row>
      <xdr:rowOff>19051</xdr:rowOff>
    </xdr:from>
    <xdr:to>
      <xdr:col>17</xdr:col>
      <xdr:colOff>133350</xdr:colOff>
      <xdr:row>30</xdr:row>
      <xdr:rowOff>142875</xdr:rowOff>
    </xdr:to>
    <xdr:sp macro="" textlink="">
      <xdr:nvSpPr>
        <xdr:cNvPr id="50" name="Rectangle 49" descr="Hierarchy Level 2 Item 5">
          <a:extLst>
            <a:ext uri="{FF2B5EF4-FFF2-40B4-BE49-F238E27FC236}">
              <a16:creationId xmlns:a16="http://schemas.microsoft.com/office/drawing/2014/main" id="{BC62C7F9-816D-4C5A-AF7C-6BE71567FD5A}"/>
            </a:ext>
          </a:extLst>
        </xdr:cNvPr>
        <xdr:cNvSpPr/>
      </xdr:nvSpPr>
      <xdr:spPr>
        <a:xfrm>
          <a:off x="10020299" y="4781551"/>
          <a:ext cx="800101" cy="885824"/>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Early Years Educator</a:t>
          </a:r>
        </a:p>
        <a:p>
          <a:pPr marL="0" lvl="0" indent="0" algn="ctr" defTabSz="577850" rtl="0">
            <a:lnSpc>
              <a:spcPct val="90000"/>
            </a:lnSpc>
            <a:spcBef>
              <a:spcPct val="0"/>
            </a:spcBef>
            <a:spcAft>
              <a:spcPct val="35000"/>
            </a:spcAft>
            <a:buNone/>
          </a:pPr>
          <a:r>
            <a:rPr lang="en-GB" sz="1000">
              <a:solidFill>
                <a:prstClr val="black"/>
              </a:solidFill>
            </a:rPr>
            <a:t>0.86 FTE SC2</a:t>
          </a:r>
        </a:p>
        <a:p>
          <a:pPr marL="0" lvl="0" indent="0" algn="ctr" defTabSz="577850" rtl="0">
            <a:lnSpc>
              <a:spcPct val="90000"/>
            </a:lnSpc>
            <a:spcBef>
              <a:spcPct val="0"/>
            </a:spcBef>
            <a:spcAft>
              <a:spcPct val="35000"/>
            </a:spcAft>
            <a:buNone/>
          </a:pPr>
          <a:r>
            <a:rPr lang="en-GB" sz="1000">
              <a:solidFill>
                <a:prstClr val="black"/>
              </a:solidFill>
            </a:rPr>
            <a:t>TTO </a:t>
          </a:r>
          <a:endParaRPr lang="en-GB" sz="1000" b="0" kern="1200">
            <a:solidFill>
              <a:prstClr val="black"/>
            </a:solidFill>
          </a:endParaRPr>
        </a:p>
      </xdr:txBody>
    </xdr:sp>
    <xdr:clientData/>
  </xdr:twoCellAnchor>
  <xdr:twoCellAnchor>
    <xdr:from>
      <xdr:col>11</xdr:col>
      <xdr:colOff>447675</xdr:colOff>
      <xdr:row>40</xdr:row>
      <xdr:rowOff>133350</xdr:rowOff>
    </xdr:from>
    <xdr:to>
      <xdr:col>13</xdr:col>
      <xdr:colOff>285750</xdr:colOff>
      <xdr:row>43</xdr:row>
      <xdr:rowOff>152400</xdr:rowOff>
    </xdr:to>
    <xdr:sp macro="" textlink="">
      <xdr:nvSpPr>
        <xdr:cNvPr id="51" name="Rectangle 50" descr="Hierarchy Level 2 Item 5">
          <a:extLst>
            <a:ext uri="{FF2B5EF4-FFF2-40B4-BE49-F238E27FC236}">
              <a16:creationId xmlns:a16="http://schemas.microsoft.com/office/drawing/2014/main" id="{1EA91152-B53C-42A8-8162-980F3268F8C1}"/>
            </a:ext>
          </a:extLst>
        </xdr:cNvPr>
        <xdr:cNvSpPr/>
      </xdr:nvSpPr>
      <xdr:spPr>
        <a:xfrm>
          <a:off x="7362825" y="7562850"/>
          <a:ext cx="1095375" cy="590550"/>
        </a:xfrm>
        <a:prstGeom prst="rect">
          <a:avLst/>
        </a:prstGeom>
        <a:solidFill>
          <a:schemeClr val="accent6">
            <a:lumMod val="40000"/>
            <a:lumOff val="60000"/>
          </a:schemeClr>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BC 0.14 FTE SC4</a:t>
          </a:r>
          <a:r>
            <a:rPr lang="en-GB" sz="1000" baseline="0">
              <a:solidFill>
                <a:prstClr val="black"/>
              </a:solidFill>
            </a:rPr>
            <a:t> </a:t>
          </a:r>
          <a:r>
            <a:rPr lang="en-GB" sz="1000">
              <a:solidFill>
                <a:prstClr val="black"/>
              </a:solidFill>
            </a:rPr>
            <a:t> </a:t>
          </a:r>
        </a:p>
        <a:p>
          <a:pPr marL="0" lvl="0" indent="0" algn="ctr" defTabSz="577850" rtl="0">
            <a:lnSpc>
              <a:spcPct val="90000"/>
            </a:lnSpc>
            <a:spcBef>
              <a:spcPct val="0"/>
            </a:spcBef>
            <a:spcAft>
              <a:spcPct val="35000"/>
            </a:spcAft>
            <a:buNone/>
          </a:pPr>
          <a:r>
            <a:rPr lang="en-GB" sz="1000" b="0" kern="1200">
              <a:solidFill>
                <a:prstClr val="black"/>
              </a:solidFill>
            </a:rPr>
            <a:t>TTO</a:t>
          </a:r>
        </a:p>
      </xdr:txBody>
    </xdr:sp>
    <xdr:clientData/>
  </xdr:twoCellAnchor>
  <xdr:twoCellAnchor>
    <xdr:from>
      <xdr:col>9</xdr:col>
      <xdr:colOff>161925</xdr:colOff>
      <xdr:row>26</xdr:row>
      <xdr:rowOff>28575</xdr:rowOff>
    </xdr:from>
    <xdr:to>
      <xdr:col>10</xdr:col>
      <xdr:colOff>352425</xdr:colOff>
      <xdr:row>30</xdr:row>
      <xdr:rowOff>9525</xdr:rowOff>
    </xdr:to>
    <xdr:sp macro="" textlink="">
      <xdr:nvSpPr>
        <xdr:cNvPr id="52" name="Rectangle 51" descr="Hierarchy Sub Level">
          <a:extLst>
            <a:ext uri="{FF2B5EF4-FFF2-40B4-BE49-F238E27FC236}">
              <a16:creationId xmlns:a16="http://schemas.microsoft.com/office/drawing/2014/main" id="{A7DC1410-9C32-4894-B49B-1D48AEF9569A}"/>
            </a:ext>
          </a:extLst>
        </xdr:cNvPr>
        <xdr:cNvSpPr/>
      </xdr:nvSpPr>
      <xdr:spPr>
        <a:xfrm>
          <a:off x="5819775" y="4791075"/>
          <a:ext cx="819150" cy="742950"/>
        </a:xfrm>
        <a:prstGeom prst="rect">
          <a:avLst/>
        </a:prstGeom>
        <a:solidFill>
          <a:srgbClr val="66FFFF"/>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Y3/4 SEN </a:t>
          </a:r>
        </a:p>
        <a:p>
          <a:pPr marL="0" lvl="0" indent="0" algn="ctr" defTabSz="577850" rtl="0">
            <a:lnSpc>
              <a:spcPct val="90000"/>
            </a:lnSpc>
            <a:spcBef>
              <a:spcPct val="0"/>
            </a:spcBef>
            <a:spcAft>
              <a:spcPct val="35000"/>
            </a:spcAft>
            <a:buNone/>
          </a:pPr>
          <a:r>
            <a:rPr lang="en-GB" sz="1000">
              <a:solidFill>
                <a:prstClr val="black"/>
              </a:solidFill>
            </a:rPr>
            <a:t> 0.8</a:t>
          </a:r>
          <a:r>
            <a:rPr lang="en-GB" sz="1000" baseline="0">
              <a:solidFill>
                <a:prstClr val="black"/>
              </a:solidFill>
            </a:rPr>
            <a:t> FT</a:t>
          </a:r>
          <a:r>
            <a:rPr lang="en-GB" sz="1000">
              <a:solidFill>
                <a:prstClr val="black"/>
              </a:solidFill>
            </a:rPr>
            <a:t>E SC4</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a:solidFill>
                <a:prstClr val="black"/>
              </a:solidFill>
            </a:rPr>
            <a:t> </a:t>
          </a:r>
          <a:endParaRPr lang="en-GB" sz="1000" b="0" kern="1200">
            <a:solidFill>
              <a:prstClr val="black"/>
            </a:solidFill>
          </a:endParaRPr>
        </a:p>
      </xdr:txBody>
    </xdr:sp>
    <xdr:clientData/>
  </xdr:twoCellAnchor>
  <xdr:twoCellAnchor>
    <xdr:from>
      <xdr:col>7</xdr:col>
      <xdr:colOff>295276</xdr:colOff>
      <xdr:row>25</xdr:row>
      <xdr:rowOff>161925</xdr:rowOff>
    </xdr:from>
    <xdr:to>
      <xdr:col>8</xdr:col>
      <xdr:colOff>361950</xdr:colOff>
      <xdr:row>29</xdr:row>
      <xdr:rowOff>190499</xdr:rowOff>
    </xdr:to>
    <xdr:sp macro="" textlink="">
      <xdr:nvSpPr>
        <xdr:cNvPr id="53" name="Rectangle 52" descr="Hierarchy Sub Level">
          <a:extLst>
            <a:ext uri="{FF2B5EF4-FFF2-40B4-BE49-F238E27FC236}">
              <a16:creationId xmlns:a16="http://schemas.microsoft.com/office/drawing/2014/main" id="{E9407951-D498-478E-851F-93CC72A66FBB}"/>
            </a:ext>
          </a:extLst>
        </xdr:cNvPr>
        <xdr:cNvSpPr/>
      </xdr:nvSpPr>
      <xdr:spPr>
        <a:xfrm>
          <a:off x="4695826" y="4733925"/>
          <a:ext cx="695324" cy="790574"/>
        </a:xfrm>
        <a:prstGeom prst="rect">
          <a:avLst/>
        </a:prstGeom>
        <a:solidFill>
          <a:srgbClr val="FFCCCC"/>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Y2 SEN</a:t>
          </a:r>
        </a:p>
        <a:p>
          <a:pPr marL="0" lvl="0" indent="0" algn="ctr" defTabSz="577850" rtl="0">
            <a:lnSpc>
              <a:spcPct val="90000"/>
            </a:lnSpc>
            <a:spcBef>
              <a:spcPct val="0"/>
            </a:spcBef>
            <a:spcAft>
              <a:spcPct val="35000"/>
            </a:spcAft>
            <a:buNone/>
          </a:pPr>
          <a:r>
            <a:rPr lang="en-GB" sz="1000" baseline="0">
              <a:solidFill>
                <a:prstClr val="black"/>
              </a:solidFill>
            </a:rPr>
            <a:t>1 FT</a:t>
          </a:r>
          <a:r>
            <a:rPr lang="en-GB" sz="1000">
              <a:solidFill>
                <a:prstClr val="black"/>
              </a:solidFill>
            </a:rPr>
            <a:t>E </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b="1">
              <a:solidFill>
                <a:prstClr val="black"/>
              </a:solidFill>
            </a:rPr>
            <a:t>AGENCY</a:t>
          </a:r>
          <a:r>
            <a:rPr lang="en-GB" sz="1000">
              <a:solidFill>
                <a:prstClr val="black"/>
              </a:solidFill>
            </a:rPr>
            <a:t> </a:t>
          </a:r>
          <a:endParaRPr lang="en-GB" sz="1000" b="0" kern="1200">
            <a:solidFill>
              <a:prstClr val="black"/>
            </a:solidFill>
          </a:endParaRPr>
        </a:p>
      </xdr:txBody>
    </xdr:sp>
    <xdr:clientData/>
  </xdr:twoCellAnchor>
  <xdr:twoCellAnchor>
    <xdr:from>
      <xdr:col>4</xdr:col>
      <xdr:colOff>485775</xdr:colOff>
      <xdr:row>25</xdr:row>
      <xdr:rowOff>133351</xdr:rowOff>
    </xdr:from>
    <xdr:to>
      <xdr:col>5</xdr:col>
      <xdr:colOff>571500</xdr:colOff>
      <xdr:row>29</xdr:row>
      <xdr:rowOff>171451</xdr:rowOff>
    </xdr:to>
    <xdr:sp macro="" textlink="">
      <xdr:nvSpPr>
        <xdr:cNvPr id="54" name="Rectangle 53" descr="Hierarchy Sub Level">
          <a:extLst>
            <a:ext uri="{FF2B5EF4-FFF2-40B4-BE49-F238E27FC236}">
              <a16:creationId xmlns:a16="http://schemas.microsoft.com/office/drawing/2014/main" id="{B214FB9B-A4BF-4C59-9690-18D1992CE418}"/>
            </a:ext>
          </a:extLst>
        </xdr:cNvPr>
        <xdr:cNvSpPr/>
      </xdr:nvSpPr>
      <xdr:spPr>
        <a:xfrm>
          <a:off x="3000375" y="4705351"/>
          <a:ext cx="714375" cy="800100"/>
        </a:xfrm>
        <a:prstGeom prst="rect">
          <a:avLst/>
        </a:prstGeom>
        <a:solidFill>
          <a:srgbClr val="FFCCCC"/>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8255" tIns="8255" rIns="8255" bIns="8255" numCol="1" spcCol="1270" rtlCol="0" anchor="ctr"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EYFS SEN</a:t>
          </a:r>
        </a:p>
        <a:p>
          <a:pPr marL="0" lvl="0" indent="0" algn="ctr" defTabSz="577850" rtl="0">
            <a:lnSpc>
              <a:spcPct val="90000"/>
            </a:lnSpc>
            <a:spcBef>
              <a:spcPct val="0"/>
            </a:spcBef>
            <a:spcAft>
              <a:spcPct val="35000"/>
            </a:spcAft>
            <a:buNone/>
          </a:pPr>
          <a:r>
            <a:rPr lang="en-GB" sz="1000" baseline="0">
              <a:solidFill>
                <a:prstClr val="black"/>
              </a:solidFill>
            </a:rPr>
            <a:t>1 FT</a:t>
          </a:r>
          <a:r>
            <a:rPr lang="en-GB" sz="1000">
              <a:solidFill>
                <a:prstClr val="black"/>
              </a:solidFill>
            </a:rPr>
            <a:t>E </a:t>
          </a:r>
          <a:r>
            <a:rPr lang="en-GB" sz="1000" baseline="0">
              <a:solidFill>
                <a:prstClr val="black"/>
              </a:solidFill>
            </a:rPr>
            <a:t> </a:t>
          </a:r>
          <a:r>
            <a:rPr lang="en-GB" sz="1000">
              <a:solidFill>
                <a:prstClr val="black"/>
              </a:solidFill>
            </a:rPr>
            <a:t>TTO</a:t>
          </a:r>
        </a:p>
        <a:p>
          <a:pPr marL="0" lvl="0" indent="0" algn="ctr" defTabSz="577850" rtl="0">
            <a:lnSpc>
              <a:spcPct val="90000"/>
            </a:lnSpc>
            <a:spcBef>
              <a:spcPct val="0"/>
            </a:spcBef>
            <a:spcAft>
              <a:spcPct val="35000"/>
            </a:spcAft>
            <a:buNone/>
          </a:pPr>
          <a:r>
            <a:rPr lang="en-GB" sz="1000" b="1">
              <a:solidFill>
                <a:prstClr val="black"/>
              </a:solidFill>
            </a:rPr>
            <a:t>AGENCY</a:t>
          </a:r>
        </a:p>
        <a:p>
          <a:pPr marL="0" lvl="0" indent="0" algn="ctr" defTabSz="577850" rtl="0">
            <a:lnSpc>
              <a:spcPct val="90000"/>
            </a:lnSpc>
            <a:spcBef>
              <a:spcPct val="0"/>
            </a:spcBef>
            <a:spcAft>
              <a:spcPct val="35000"/>
            </a:spcAft>
            <a:buNone/>
          </a:pPr>
          <a:r>
            <a:rPr lang="en-GB" sz="1000" b="1">
              <a:solidFill>
                <a:prstClr val="black"/>
              </a:solidFill>
            </a:rPr>
            <a:t>4weeks</a:t>
          </a:r>
          <a:r>
            <a:rPr lang="en-GB" sz="1000">
              <a:solidFill>
                <a:prstClr val="black"/>
              </a:solidFill>
            </a:rPr>
            <a:t> </a:t>
          </a:r>
          <a:endParaRPr lang="en-GB" sz="1000" b="0" kern="1200">
            <a:solidFill>
              <a:prstClr val="black"/>
            </a:solidFill>
          </a:endParaRPr>
        </a:p>
      </xdr:txBody>
    </xdr:sp>
    <xdr:clientData/>
  </xdr:twoCellAnchor>
  <xdr:twoCellAnchor>
    <xdr:from>
      <xdr:col>14</xdr:col>
      <xdr:colOff>257175</xdr:colOff>
      <xdr:row>21</xdr:row>
      <xdr:rowOff>0</xdr:rowOff>
    </xdr:from>
    <xdr:to>
      <xdr:col>15</xdr:col>
      <xdr:colOff>419100</xdr:colOff>
      <xdr:row>25</xdr:row>
      <xdr:rowOff>133350</xdr:rowOff>
    </xdr:to>
    <xdr:sp macro="" textlink="">
      <xdr:nvSpPr>
        <xdr:cNvPr id="55" name="Rectangle 54" descr="Hierarchy Level 2 Item 5">
          <a:extLst>
            <a:ext uri="{FF2B5EF4-FFF2-40B4-BE49-F238E27FC236}">
              <a16:creationId xmlns:a16="http://schemas.microsoft.com/office/drawing/2014/main" id="{FEC3FC6A-7CE2-45A3-B986-BF33B3DA70BE}"/>
            </a:ext>
          </a:extLst>
        </xdr:cNvPr>
        <xdr:cNvSpPr/>
      </xdr:nvSpPr>
      <xdr:spPr>
        <a:xfrm>
          <a:off x="9058275" y="3810000"/>
          <a:ext cx="790575" cy="895350"/>
        </a:xfrm>
        <a:prstGeom prst="rect">
          <a:avLst/>
        </a:prstGeom>
        <a:solidFill>
          <a:srgbClr val="E29B66"/>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a:solidFill>
                <a:prstClr val="black"/>
              </a:solidFill>
            </a:rPr>
            <a:t> Early</a:t>
          </a:r>
          <a:r>
            <a:rPr lang="en-GB" sz="1000" baseline="0">
              <a:solidFill>
                <a:prstClr val="black"/>
              </a:solidFill>
            </a:rPr>
            <a:t> Years Educator</a:t>
          </a:r>
        </a:p>
        <a:p>
          <a:pPr marL="0" lvl="0" indent="0" algn="ctr" defTabSz="577850" rtl="0">
            <a:lnSpc>
              <a:spcPct val="90000"/>
            </a:lnSpc>
            <a:spcBef>
              <a:spcPct val="0"/>
            </a:spcBef>
            <a:spcAft>
              <a:spcPct val="35000"/>
            </a:spcAft>
            <a:buNone/>
          </a:pPr>
          <a:r>
            <a:rPr lang="en-GB" sz="1000" b="0" kern="1200" baseline="0">
              <a:solidFill>
                <a:prstClr val="black"/>
              </a:solidFill>
            </a:rPr>
            <a:t>1 FTE SC3</a:t>
          </a:r>
        </a:p>
        <a:p>
          <a:pPr marL="0" lvl="0" indent="0" algn="ctr" defTabSz="577850" rtl="0">
            <a:lnSpc>
              <a:spcPct val="90000"/>
            </a:lnSpc>
            <a:spcBef>
              <a:spcPct val="0"/>
            </a:spcBef>
            <a:spcAft>
              <a:spcPct val="35000"/>
            </a:spcAft>
            <a:buNone/>
          </a:pPr>
          <a:r>
            <a:rPr lang="en-GB" sz="1000" b="0" kern="1200" baseline="0">
              <a:solidFill>
                <a:prstClr val="black"/>
              </a:solidFill>
            </a:rPr>
            <a:t>AYR</a:t>
          </a:r>
          <a:endParaRPr lang="en-GB" sz="1000" b="0" kern="1200">
            <a:solidFill>
              <a:prstClr val="black"/>
            </a:solidFill>
          </a:endParaRPr>
        </a:p>
      </xdr:txBody>
    </xdr:sp>
    <xdr:clientData/>
  </xdr:twoCellAnchor>
  <xdr:twoCellAnchor>
    <xdr:from>
      <xdr:col>3</xdr:col>
      <xdr:colOff>0</xdr:colOff>
      <xdr:row>42</xdr:row>
      <xdr:rowOff>0</xdr:rowOff>
    </xdr:from>
    <xdr:to>
      <xdr:col>6</xdr:col>
      <xdr:colOff>247650</xdr:colOff>
      <xdr:row>46</xdr:row>
      <xdr:rowOff>19051</xdr:rowOff>
    </xdr:to>
    <xdr:sp macro="" textlink="">
      <xdr:nvSpPr>
        <xdr:cNvPr id="56" name="Rectangle 55" descr="Hierarchy Level 2 Item 1">
          <a:extLst>
            <a:ext uri="{FF2B5EF4-FFF2-40B4-BE49-F238E27FC236}">
              <a16:creationId xmlns:a16="http://schemas.microsoft.com/office/drawing/2014/main" id="{3C9E99AE-473D-4BF2-8A0D-AA2C8723265E}"/>
            </a:ext>
          </a:extLst>
        </xdr:cNvPr>
        <xdr:cNvSpPr/>
      </xdr:nvSpPr>
      <xdr:spPr>
        <a:xfrm>
          <a:off x="1885950" y="7810500"/>
          <a:ext cx="2133600" cy="781051"/>
        </a:xfrm>
        <a:prstGeom prst="rect">
          <a:avLst/>
        </a:prstGeom>
        <a:solidFill>
          <a:srgbClr val="00B0F0"/>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000" b="0" kern="1200">
              <a:solidFill>
                <a:prstClr val="black"/>
              </a:solidFill>
            </a:rPr>
            <a:t>Inclusion</a:t>
          </a:r>
          <a:r>
            <a:rPr lang="en-GB" sz="1000" b="0" kern="1200" baseline="0">
              <a:solidFill>
                <a:prstClr val="black"/>
              </a:solidFill>
            </a:rPr>
            <a:t> Manager MPR6 0.6 FTE</a:t>
          </a:r>
        </a:p>
        <a:p>
          <a:pPr marL="0" lvl="0" indent="0" algn="ctr" defTabSz="577850" rtl="0">
            <a:lnSpc>
              <a:spcPct val="90000"/>
            </a:lnSpc>
            <a:spcBef>
              <a:spcPct val="0"/>
            </a:spcBef>
            <a:spcAft>
              <a:spcPct val="35000"/>
            </a:spcAft>
            <a:buNone/>
          </a:pPr>
          <a:r>
            <a:rPr lang="en-GB" sz="1000" b="0" kern="1200" baseline="0">
              <a:solidFill>
                <a:prstClr val="black"/>
              </a:solidFill>
            </a:rPr>
            <a:t>SEN allowance (Min) </a:t>
          </a:r>
          <a:endParaRPr lang="en-GB" sz="1000" b="0" kern="1200">
            <a:solidFill>
              <a:prstClr val="black"/>
            </a:solidFill>
          </a:endParaRPr>
        </a:p>
      </xdr:txBody>
    </xdr:sp>
    <xdr:clientData/>
  </xdr:twoCellAnchor>
  <xdr:twoCellAnchor>
    <xdr:from>
      <xdr:col>21</xdr:col>
      <xdr:colOff>636989</xdr:colOff>
      <xdr:row>7</xdr:row>
      <xdr:rowOff>47040</xdr:rowOff>
    </xdr:from>
    <xdr:to>
      <xdr:col>23</xdr:col>
      <xdr:colOff>599439</xdr:colOff>
      <xdr:row>8</xdr:row>
      <xdr:rowOff>161925</xdr:rowOff>
    </xdr:to>
    <xdr:sp macro="" textlink="">
      <xdr:nvSpPr>
        <xdr:cNvPr id="57" name="Rectangle 56" descr="Hierarchy Level 3 Item 6">
          <a:extLst>
            <a:ext uri="{FF2B5EF4-FFF2-40B4-BE49-F238E27FC236}">
              <a16:creationId xmlns:a16="http://schemas.microsoft.com/office/drawing/2014/main" id="{A9898744-4ED5-4276-AA01-A279E48162D5}"/>
            </a:ext>
          </a:extLst>
        </xdr:cNvPr>
        <xdr:cNvSpPr/>
      </xdr:nvSpPr>
      <xdr:spPr>
        <a:xfrm>
          <a:off x="13838639" y="1190040"/>
          <a:ext cx="1276900" cy="305385"/>
        </a:xfrm>
        <a:prstGeom prst="rect">
          <a:avLst/>
        </a:prstGeom>
        <a:solidFill>
          <a:sysClr val="window" lastClr="FFFFFF"/>
        </a:solidFill>
        <a:ln>
          <a:noFill/>
        </a:ln>
        <a:effectLst/>
        <a:scene3d>
          <a:camera prst="orthographicFront"/>
          <a:lightRig rig="flat" dir="t"/>
        </a:scene3d>
        <a:sp3d prstMaterial="dkEdge"/>
      </xdr:spPr>
      <xdr:style>
        <a:lnRef idx="0">
          <a:schemeClr val="lt2">
            <a:hueOff val="0"/>
            <a:satOff val="0"/>
            <a:lumOff val="0"/>
            <a:alphaOff val="0"/>
          </a:schemeClr>
        </a:lnRef>
        <a:fillRef idx="2">
          <a:scrgbClr r="0" g="0" b="0"/>
        </a:fillRef>
        <a:effectRef idx="1">
          <a:schemeClr val="dk2">
            <a:hueOff val="0"/>
            <a:satOff val="0"/>
            <a:lumOff val="0"/>
            <a:alphaOff val="0"/>
          </a:schemeClr>
        </a:effectRef>
        <a:fontRef idx="minor">
          <a:schemeClr val="dk1"/>
        </a:fontRef>
      </xdr:style>
      <xdr:txBody>
        <a:bodyPr spcFirstLastPara="0" vert="horz" wrap="square" lIns="72000" tIns="108000" rIns="72000" bIns="0" numCol="1" spcCol="1270" rtlCol="0" anchor="t" anchorCtr="0">
          <a:noAutofit/>
        </a:bodyPr>
        <a:lstStyle>
          <a:defPPr rtl="0">
            <a:defRPr lang="en-gb"/>
          </a:defPPr>
          <a:lvl1pPr marL="0" algn="l" defTabSz="457200" rtl="0" eaLnBrk="1" latinLnBrk="0" hangingPunct="1">
            <a:defRPr sz="1800" kern="1200">
              <a:solidFill>
                <a:sysClr val="windowText" lastClr="000000"/>
              </a:solidFill>
              <a:latin typeface="Tw Cen MT" panose="020B0602020104020603"/>
            </a:defRPr>
          </a:lvl1pPr>
          <a:lvl2pPr marL="457200" algn="l" defTabSz="457200" rtl="0" eaLnBrk="1" latinLnBrk="0" hangingPunct="1">
            <a:defRPr sz="1800" kern="1200">
              <a:solidFill>
                <a:sysClr val="windowText" lastClr="000000"/>
              </a:solidFill>
              <a:latin typeface="Tw Cen MT" panose="020B0602020104020603"/>
            </a:defRPr>
          </a:lvl2pPr>
          <a:lvl3pPr marL="914400" algn="l" defTabSz="457200" rtl="0" eaLnBrk="1" latinLnBrk="0" hangingPunct="1">
            <a:defRPr sz="1800" kern="1200">
              <a:solidFill>
                <a:sysClr val="windowText" lastClr="000000"/>
              </a:solidFill>
              <a:latin typeface="Tw Cen MT" panose="020B0602020104020603"/>
            </a:defRPr>
          </a:lvl3pPr>
          <a:lvl4pPr marL="1371600" algn="l" defTabSz="457200" rtl="0" eaLnBrk="1" latinLnBrk="0" hangingPunct="1">
            <a:defRPr sz="1800" kern="1200">
              <a:solidFill>
                <a:sysClr val="windowText" lastClr="000000"/>
              </a:solidFill>
              <a:latin typeface="Tw Cen MT" panose="020B0602020104020603"/>
            </a:defRPr>
          </a:lvl4pPr>
          <a:lvl5pPr marL="1828800" algn="l" defTabSz="457200" rtl="0" eaLnBrk="1" latinLnBrk="0" hangingPunct="1">
            <a:defRPr sz="1800" kern="1200">
              <a:solidFill>
                <a:sysClr val="windowText" lastClr="000000"/>
              </a:solidFill>
              <a:latin typeface="Tw Cen MT" panose="020B0602020104020603"/>
            </a:defRPr>
          </a:lvl5pPr>
          <a:lvl6pPr marL="2286000" algn="l" defTabSz="457200" rtl="0" eaLnBrk="1" latinLnBrk="0" hangingPunct="1">
            <a:defRPr sz="1800" kern="1200">
              <a:solidFill>
                <a:sysClr val="windowText" lastClr="000000"/>
              </a:solidFill>
              <a:latin typeface="Tw Cen MT" panose="020B0602020104020603"/>
            </a:defRPr>
          </a:lvl6pPr>
          <a:lvl7pPr marL="2743200" algn="l" defTabSz="457200" rtl="0" eaLnBrk="1" latinLnBrk="0" hangingPunct="1">
            <a:defRPr sz="1800" kern="1200">
              <a:solidFill>
                <a:sysClr val="windowText" lastClr="000000"/>
              </a:solidFill>
              <a:latin typeface="Tw Cen MT" panose="020B0602020104020603"/>
            </a:defRPr>
          </a:lvl7pPr>
          <a:lvl8pPr marL="3200400" algn="l" defTabSz="457200" rtl="0" eaLnBrk="1" latinLnBrk="0" hangingPunct="1">
            <a:defRPr sz="1800" kern="1200">
              <a:solidFill>
                <a:sysClr val="windowText" lastClr="000000"/>
              </a:solidFill>
              <a:latin typeface="Tw Cen MT" panose="020B0602020104020603"/>
            </a:defRPr>
          </a:lvl8pPr>
          <a:lvl9pPr marL="3657600" algn="l" defTabSz="457200" rtl="0" eaLnBrk="1" latinLnBrk="0" hangingPunct="1">
            <a:defRPr sz="1800" kern="1200">
              <a:solidFill>
                <a:sysClr val="windowText" lastClr="000000"/>
              </a:solidFill>
              <a:latin typeface="Tw Cen MT" panose="020B0602020104020603"/>
            </a:defRPr>
          </a:lvl9pPr>
        </a:lstStyle>
        <a:p>
          <a:pPr marL="0" lvl="0" indent="0" algn="ctr" defTabSz="577850" rtl="0">
            <a:lnSpc>
              <a:spcPct val="90000"/>
            </a:lnSpc>
            <a:spcBef>
              <a:spcPct val="0"/>
            </a:spcBef>
            <a:spcAft>
              <a:spcPct val="35000"/>
            </a:spcAft>
            <a:buNone/>
          </a:pPr>
          <a:r>
            <a:rPr lang="en-GB" sz="1300">
              <a:solidFill>
                <a:prstClr val="black"/>
              </a:solidFill>
            </a:rPr>
            <a:t>Staffing Structure </a:t>
          </a:r>
          <a:endParaRPr lang="en-GB" sz="1300" b="0" kern="1200">
            <a:solidFill>
              <a:prstClr val="black"/>
            </a:solidFill>
          </a:endParaRPr>
        </a:p>
      </xdr:txBody>
    </xdr:sp>
    <xdr:clientData/>
  </xdr:twoCellAnchor>
  <xdr:twoCellAnchor>
    <xdr:from>
      <xdr:col>2</xdr:col>
      <xdr:colOff>573060</xdr:colOff>
      <xdr:row>1</xdr:row>
      <xdr:rowOff>84899</xdr:rowOff>
    </xdr:from>
    <xdr:to>
      <xdr:col>6</xdr:col>
      <xdr:colOff>304800</xdr:colOff>
      <xdr:row>3</xdr:row>
      <xdr:rowOff>0</xdr:rowOff>
    </xdr:to>
    <xdr:sp macro="" textlink="">
      <xdr:nvSpPr>
        <xdr:cNvPr id="58" name="Title 3" descr="Blank text box.">
          <a:extLst>
            <a:ext uri="{FF2B5EF4-FFF2-40B4-BE49-F238E27FC236}">
              <a16:creationId xmlns:a16="http://schemas.microsoft.com/office/drawing/2014/main" id="{EAF2ECD0-DF83-4871-B7EA-4972ACA9A294}"/>
            </a:ext>
            <a:ext uri="{C183D7F6-B498-43B3-948B-1728B52AA6E4}">
              <adec:decorative xmlns:adec="http://schemas.microsoft.com/office/drawing/2017/decorative" val="0"/>
            </a:ext>
          </a:extLst>
        </xdr:cNvPr>
        <xdr:cNvSpPr>
          <a:spLocks noGrp="1"/>
        </xdr:cNvSpPr>
      </xdr:nvSpPr>
      <xdr:spPr>
        <a:xfrm>
          <a:off x="4059210" y="269049"/>
          <a:ext cx="2513040" cy="331026"/>
        </a:xfrm>
        <a:prstGeom prst="rect">
          <a:avLst/>
        </a:prstGeom>
      </xdr:spPr>
      <xdr:txBody>
        <a:bodyPr vert="horz" wrap="square" lIns="0" tIns="0" rIns="0" bIns="0" rtlCol="0" anchor="ctr">
          <a:noAutofit/>
        </a:bodyPr>
        <a:lstStyle>
          <a:lvl1pPr algn="l" defTabSz="914400" rtl="0" eaLnBrk="1" latinLnBrk="0" hangingPunct="1">
            <a:lnSpc>
              <a:spcPct val="80000"/>
            </a:lnSpc>
            <a:spcBef>
              <a:spcPct val="0"/>
            </a:spcBef>
            <a:buNone/>
            <a:defRPr sz="5000" kern="1200" cap="all" spc="100" baseline="0">
              <a:solidFill>
                <a:sysClr val="windowText" lastClr="000000">
                  <a:lumMod val="95000"/>
                  <a:lumOff val="5000"/>
                </a:sysClr>
              </a:solidFill>
              <a:latin typeface="Tw Cen MT Condensed" panose="020B0606020104020203"/>
            </a:defRPr>
          </a:lvl1pPr>
        </a:lstStyle>
        <a:p>
          <a:pPr rtl="0"/>
          <a:r>
            <a:rPr lang="en-GB" sz="1600" spc="-150"/>
            <a:t>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irminghamcitycouncil.sharepoint.com/sites/SchoolFairfundingTeam/Shared%20Documents/Schools%20Funding%20Team%202024-25/CFR/2023-24%20CFR%20OUTTURN%20FINAL%20v2%20(Dania).xlsx" TargetMode="External"/><Relationship Id="rId1" Type="http://schemas.openxmlformats.org/officeDocument/2006/relationships/externalLinkPath" Target="https://birminghamcitycouncil.sharepoint.com/sites/SchoolFairfundingTeam/Shared%20Documents/Schools%20Funding%20Team%202024-25/CFR/2023-24%20CFR%20OUTTURN%20FINAL%20v2%20(Dan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mpcsesa\AppData\Local\Microsoft\Windows\INetCache\Content.Outlook\P9HOJLAI\Deficit%20Recovery%20Plan%2024-25%20Master.xlsx" TargetMode="External"/><Relationship Id="rId1" Type="http://schemas.openxmlformats.org/officeDocument/2006/relationships/externalLinkPath" Target="file:///C:\Users\tmpcsesa\AppData\Local\Microsoft\Windows\INetCache\Content.Outlook\P9HOJLAI\Deficit%20Recovery%20Plan%2024-25%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NAL OUTURN 2023-24"/>
      <sheetName val="Adjustment"/>
      <sheetName val="Outturn 2023-24 BY BCC"/>
      <sheetName val="Outturn 2023-24 BY BCC (3)"/>
      <sheetName val="Outturn 2023-24 BY BCC FINAL"/>
      <sheetName val="2024-25"/>
      <sheetName val="Lookup"/>
      <sheetName val="Lookup 2"/>
    </sheetNames>
    <sheetDataSet>
      <sheetData sheetId="0"/>
      <sheetData sheetId="1">
        <row r="1">
          <cell r="H1">
            <v>94</v>
          </cell>
        </row>
        <row r="2">
          <cell r="B2" t="str">
            <v>DfE#</v>
          </cell>
          <cell r="H2"/>
        </row>
        <row r="3">
          <cell r="B3">
            <v>3302010</v>
          </cell>
          <cell r="H3" t="str">
            <v>Agree</v>
          </cell>
        </row>
        <row r="4">
          <cell r="B4">
            <v>3302153</v>
          </cell>
          <cell r="H4" t="str">
            <v>Agree</v>
          </cell>
        </row>
        <row r="5">
          <cell r="B5">
            <v>3302062</v>
          </cell>
          <cell r="H5" t="str">
            <v>Agree</v>
          </cell>
        </row>
        <row r="6">
          <cell r="B6">
            <v>3302300</v>
          </cell>
          <cell r="H6" t="str">
            <v>Agree</v>
          </cell>
        </row>
        <row r="7">
          <cell r="B7">
            <v>3302017</v>
          </cell>
          <cell r="H7" t="str">
            <v>Agree</v>
          </cell>
        </row>
        <row r="8">
          <cell r="B8">
            <v>3302239</v>
          </cell>
          <cell r="H8" t="str">
            <v>Agree</v>
          </cell>
        </row>
        <row r="9">
          <cell r="B9">
            <v>3302241</v>
          </cell>
          <cell r="H9" t="str">
            <v>Agree</v>
          </cell>
        </row>
        <row r="10">
          <cell r="B10">
            <v>3302456</v>
          </cell>
          <cell r="H10" t="str">
            <v>Agree</v>
          </cell>
        </row>
        <row r="11">
          <cell r="B11">
            <v>3305413</v>
          </cell>
          <cell r="H11" t="str">
            <v>Agree</v>
          </cell>
        </row>
        <row r="12">
          <cell r="B12">
            <v>3302254</v>
          </cell>
          <cell r="H12" t="str">
            <v>Agree</v>
          </cell>
        </row>
        <row r="13">
          <cell r="B13">
            <v>3302402</v>
          </cell>
          <cell r="H13" t="str">
            <v>Agree</v>
          </cell>
        </row>
        <row r="14">
          <cell r="B14">
            <v>3302401</v>
          </cell>
          <cell r="H14" t="str">
            <v>Agree</v>
          </cell>
        </row>
        <row r="15">
          <cell r="B15">
            <v>3301001</v>
          </cell>
          <cell r="H15" t="str">
            <v>Agree</v>
          </cell>
        </row>
        <row r="16">
          <cell r="B16">
            <v>3304115</v>
          </cell>
          <cell r="H16" t="str">
            <v>Agree</v>
          </cell>
        </row>
        <row r="17">
          <cell r="B17">
            <v>3301048</v>
          </cell>
          <cell r="H17" t="str">
            <v>Agree</v>
          </cell>
        </row>
        <row r="18">
          <cell r="B18">
            <v>3302312</v>
          </cell>
          <cell r="H18" t="str">
            <v>Agree</v>
          </cell>
        </row>
        <row r="19">
          <cell r="B19">
            <v>3307051</v>
          </cell>
          <cell r="H19" t="str">
            <v>Agree</v>
          </cell>
        </row>
        <row r="20">
          <cell r="B20">
            <v>3302251</v>
          </cell>
          <cell r="H20" t="str">
            <v>Agree</v>
          </cell>
        </row>
        <row r="21">
          <cell r="B21">
            <v>3301100</v>
          </cell>
          <cell r="H21" t="str">
            <v>Agree</v>
          </cell>
        </row>
        <row r="22">
          <cell r="B22">
            <v>3303432</v>
          </cell>
          <cell r="H22" t="str">
            <v>Agree</v>
          </cell>
        </row>
        <row r="23">
          <cell r="B23">
            <v>3302289</v>
          </cell>
          <cell r="H23" t="str">
            <v>Agree</v>
          </cell>
        </row>
        <row r="24">
          <cell r="B24">
            <v>3303320</v>
          </cell>
          <cell r="H24" t="str">
            <v>Agree</v>
          </cell>
        </row>
        <row r="25">
          <cell r="B25">
            <v>3302055</v>
          </cell>
          <cell r="H25" t="str">
            <v>Agree</v>
          </cell>
        </row>
        <row r="26">
          <cell r="B26">
            <v>3302454</v>
          </cell>
          <cell r="H26" t="str">
            <v>Agree</v>
          </cell>
        </row>
        <row r="27">
          <cell r="B27">
            <v>3303321</v>
          </cell>
          <cell r="H27" t="str">
            <v>Agree</v>
          </cell>
        </row>
        <row r="28">
          <cell r="B28">
            <v>3301026</v>
          </cell>
          <cell r="H28" t="str">
            <v>Agree</v>
          </cell>
        </row>
        <row r="29">
          <cell r="B29">
            <v>3302294</v>
          </cell>
          <cell r="H29" t="str">
            <v>Agree</v>
          </cell>
        </row>
        <row r="30">
          <cell r="B30">
            <v>3302486</v>
          </cell>
          <cell r="H30" t="str">
            <v>Agree</v>
          </cell>
        </row>
        <row r="31">
          <cell r="B31">
            <v>3303435</v>
          </cell>
          <cell r="H31" t="str">
            <v>Agree</v>
          </cell>
        </row>
        <row r="32">
          <cell r="B32">
            <v>3302081</v>
          </cell>
          <cell r="H32" t="str">
            <v>Agree</v>
          </cell>
        </row>
        <row r="33">
          <cell r="B33">
            <v>3302296</v>
          </cell>
          <cell r="H33" t="str">
            <v>Agree</v>
          </cell>
        </row>
        <row r="34">
          <cell r="B34">
            <v>3301022</v>
          </cell>
          <cell r="H34" t="str">
            <v>Agree</v>
          </cell>
        </row>
        <row r="35">
          <cell r="B35">
            <v>3302466</v>
          </cell>
          <cell r="H35" t="str">
            <v>Agree</v>
          </cell>
        </row>
        <row r="36">
          <cell r="B36">
            <v>3302091</v>
          </cell>
          <cell r="H36" t="str">
            <v>Agree</v>
          </cell>
        </row>
        <row r="37">
          <cell r="B37">
            <v>3302093</v>
          </cell>
          <cell r="H37" t="str">
            <v>Agree</v>
          </cell>
        </row>
        <row r="38">
          <cell r="B38">
            <v>3307006</v>
          </cell>
          <cell r="H38" t="str">
            <v>Agree</v>
          </cell>
        </row>
        <row r="39">
          <cell r="B39">
            <v>3302477</v>
          </cell>
          <cell r="H39" t="str">
            <v>Agree</v>
          </cell>
        </row>
        <row r="40">
          <cell r="B40">
            <v>3304201</v>
          </cell>
          <cell r="H40" t="str">
            <v>Agree</v>
          </cell>
        </row>
        <row r="41">
          <cell r="B41">
            <v>3304015</v>
          </cell>
          <cell r="H41" t="str">
            <v>Agree</v>
          </cell>
        </row>
        <row r="42">
          <cell r="B42">
            <v>3301023</v>
          </cell>
          <cell r="H42" t="str">
            <v>Agree</v>
          </cell>
        </row>
        <row r="43">
          <cell r="B43">
            <v>3304063</v>
          </cell>
          <cell r="H43" t="str">
            <v>Agree</v>
          </cell>
        </row>
        <row r="44">
          <cell r="B44">
            <v>3302321</v>
          </cell>
          <cell r="H44" t="str">
            <v>Agree</v>
          </cell>
        </row>
        <row r="45">
          <cell r="B45">
            <v>3302189</v>
          </cell>
          <cell r="H45" t="str">
            <v>Agree</v>
          </cell>
        </row>
        <row r="46">
          <cell r="B46">
            <v>3307060</v>
          </cell>
          <cell r="H46" t="str">
            <v>Agree</v>
          </cell>
        </row>
        <row r="47">
          <cell r="B47">
            <v>3302462</v>
          </cell>
          <cell r="H47" t="str">
            <v>Agree</v>
          </cell>
        </row>
        <row r="48">
          <cell r="B48">
            <v>3302127</v>
          </cell>
          <cell r="H48" t="str">
            <v>Agree</v>
          </cell>
        </row>
        <row r="49">
          <cell r="B49">
            <v>3302129</v>
          </cell>
          <cell r="H49" t="str">
            <v>Agree</v>
          </cell>
        </row>
        <row r="50">
          <cell r="B50">
            <v>3302128</v>
          </cell>
          <cell r="H50" t="str">
            <v>Agree</v>
          </cell>
        </row>
        <row r="51">
          <cell r="B51">
            <v>3302420</v>
          </cell>
          <cell r="H51" t="str">
            <v>Agree</v>
          </cell>
        </row>
        <row r="52">
          <cell r="B52">
            <v>3302004</v>
          </cell>
          <cell r="H52" t="str">
            <v>Agree</v>
          </cell>
        </row>
        <row r="53">
          <cell r="B53">
            <v>3301012</v>
          </cell>
          <cell r="H53" t="str">
            <v>Agree</v>
          </cell>
        </row>
        <row r="54">
          <cell r="B54">
            <v>3302416</v>
          </cell>
          <cell r="H54" t="str">
            <v>Agree</v>
          </cell>
        </row>
        <row r="55">
          <cell r="B55">
            <v>3302457</v>
          </cell>
          <cell r="H55" t="str">
            <v>Agree</v>
          </cell>
        </row>
        <row r="56">
          <cell r="B56">
            <v>3303431</v>
          </cell>
          <cell r="H56" t="str">
            <v>Agree</v>
          </cell>
        </row>
        <row r="57">
          <cell r="B57">
            <v>3301049</v>
          </cell>
          <cell r="H57" t="str">
            <v>Agree</v>
          </cell>
        </row>
        <row r="58">
          <cell r="B58">
            <v>3307053</v>
          </cell>
          <cell r="H58" t="str">
            <v>Agree</v>
          </cell>
        </row>
        <row r="59">
          <cell r="B59">
            <v>3303351</v>
          </cell>
          <cell r="H59" t="str">
            <v>Agree</v>
          </cell>
        </row>
        <row r="60">
          <cell r="B60">
            <v>3303328</v>
          </cell>
          <cell r="H60" t="str">
            <v>Agree</v>
          </cell>
        </row>
        <row r="61">
          <cell r="B61">
            <v>3302150</v>
          </cell>
          <cell r="H61" t="str">
            <v>Agree</v>
          </cell>
        </row>
        <row r="62">
          <cell r="B62">
            <v>3301008</v>
          </cell>
          <cell r="H62" t="str">
            <v>Agree</v>
          </cell>
        </row>
        <row r="63">
          <cell r="B63">
            <v>3304173</v>
          </cell>
          <cell r="H63" t="str">
            <v>Agree</v>
          </cell>
        </row>
        <row r="64">
          <cell r="B64">
            <v>3302159</v>
          </cell>
          <cell r="H64" t="str">
            <v>Agree</v>
          </cell>
        </row>
        <row r="65">
          <cell r="B65">
            <v>3302161</v>
          </cell>
          <cell r="H65" t="str">
            <v>Agree</v>
          </cell>
        </row>
        <row r="66">
          <cell r="B66">
            <v>3302063</v>
          </cell>
          <cell r="H66" t="str">
            <v>Agree</v>
          </cell>
        </row>
        <row r="67">
          <cell r="B67">
            <v>3301018</v>
          </cell>
          <cell r="H67" t="str">
            <v>Agree</v>
          </cell>
        </row>
        <row r="68">
          <cell r="B68">
            <v>3302169</v>
          </cell>
          <cell r="H68" t="str">
            <v>Agree</v>
          </cell>
        </row>
        <row r="69">
          <cell r="B69">
            <v>3302174</v>
          </cell>
          <cell r="H69" t="str">
            <v>Agree</v>
          </cell>
        </row>
        <row r="70">
          <cell r="B70">
            <v>3303410</v>
          </cell>
          <cell r="H70" t="str">
            <v>Agree</v>
          </cell>
        </row>
        <row r="71">
          <cell r="B71">
            <v>3303375</v>
          </cell>
          <cell r="H71" t="str">
            <v>Agree</v>
          </cell>
        </row>
        <row r="72">
          <cell r="B72">
            <v>3303386</v>
          </cell>
          <cell r="H72" t="str">
            <v>Agree</v>
          </cell>
        </row>
        <row r="73">
          <cell r="B73">
            <v>3303355</v>
          </cell>
          <cell r="H73" t="str">
            <v>Agree</v>
          </cell>
        </row>
        <row r="74">
          <cell r="B74">
            <v>3303371</v>
          </cell>
          <cell r="H74" t="str">
            <v>Agree</v>
          </cell>
        </row>
        <row r="75">
          <cell r="B75">
            <v>3303025</v>
          </cell>
          <cell r="H75" t="str">
            <v>Agree</v>
          </cell>
        </row>
        <row r="76">
          <cell r="B76">
            <v>3304606</v>
          </cell>
          <cell r="H76" t="str">
            <v>Agree</v>
          </cell>
        </row>
        <row r="77">
          <cell r="B77">
            <v>3303019</v>
          </cell>
          <cell r="H77" t="str">
            <v>Agree</v>
          </cell>
        </row>
        <row r="78">
          <cell r="B78">
            <v>3302178</v>
          </cell>
          <cell r="H78" t="str">
            <v>Agree</v>
          </cell>
        </row>
        <row r="79">
          <cell r="B79">
            <v>3302097</v>
          </cell>
          <cell r="H79" t="str">
            <v>Agree</v>
          </cell>
        </row>
        <row r="80">
          <cell r="B80">
            <v>3302190</v>
          </cell>
          <cell r="H80" t="str">
            <v>Agree</v>
          </cell>
        </row>
        <row r="81">
          <cell r="B81">
            <v>3304237</v>
          </cell>
          <cell r="H81" t="str">
            <v>Agree</v>
          </cell>
        </row>
        <row r="82">
          <cell r="B82">
            <v>3307035</v>
          </cell>
          <cell r="H82" t="str">
            <v>Agree</v>
          </cell>
        </row>
        <row r="83">
          <cell r="B83">
            <v>3302246</v>
          </cell>
          <cell r="H83" t="str">
            <v>Agree</v>
          </cell>
        </row>
        <row r="84">
          <cell r="B84">
            <v>3302192</v>
          </cell>
          <cell r="H84" t="str">
            <v>Agree</v>
          </cell>
        </row>
        <row r="85">
          <cell r="B85">
            <v>3307009</v>
          </cell>
          <cell r="H85" t="str">
            <v>Agree</v>
          </cell>
        </row>
        <row r="86">
          <cell r="B86">
            <v>3305203</v>
          </cell>
          <cell r="H86" t="str">
            <v>Agree</v>
          </cell>
        </row>
        <row r="87">
          <cell r="B87">
            <v>3305202</v>
          </cell>
          <cell r="H87" t="str">
            <v>Agree</v>
          </cell>
        </row>
        <row r="88">
          <cell r="B88">
            <v>3302306</v>
          </cell>
          <cell r="H88" t="str">
            <v>Agree</v>
          </cell>
        </row>
        <row r="89">
          <cell r="B89">
            <v>3302308</v>
          </cell>
          <cell r="H89" t="str">
            <v>Agree</v>
          </cell>
        </row>
        <row r="90">
          <cell r="B90">
            <v>3302245</v>
          </cell>
          <cell r="H90" t="str">
            <v>Agree</v>
          </cell>
        </row>
        <row r="91">
          <cell r="B91">
            <v>3302019</v>
          </cell>
          <cell r="H91" t="str">
            <v>Agree</v>
          </cell>
        </row>
        <row r="92">
          <cell r="B92">
            <v>3302445</v>
          </cell>
          <cell r="H92" t="str">
            <v>Agree</v>
          </cell>
        </row>
        <row r="93">
          <cell r="B93">
            <v>3302314</v>
          </cell>
          <cell r="H93" t="str">
            <v>Agree</v>
          </cell>
        </row>
        <row r="94">
          <cell r="B94">
            <v>3302225</v>
          </cell>
          <cell r="H94" t="str">
            <v>Agree</v>
          </cell>
        </row>
        <row r="95">
          <cell r="B95">
            <v>3303421</v>
          </cell>
          <cell r="H95" t="str">
            <v>Agree</v>
          </cell>
        </row>
        <row r="96">
          <cell r="B96">
            <v>3302231</v>
          </cell>
          <cell r="H96" t="str">
            <v>Agree</v>
          </cell>
        </row>
        <row r="98">
          <cell r="K98">
            <v>36568591.049999997</v>
          </cell>
          <cell r="N98">
            <v>2573290.4199999995</v>
          </cell>
          <cell r="Q98">
            <v>30879548.540000003</v>
          </cell>
          <cell r="W98">
            <v>2206795.1299999994</v>
          </cell>
        </row>
        <row r="99">
          <cell r="B99">
            <v>1</v>
          </cell>
          <cell r="H99">
            <v>7</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Read this First"/>
      <sheetName val="Narrative"/>
      <sheetName val="Data Summary"/>
      <sheetName val="KPI Download from Access"/>
      <sheetName val="Pupil Numbers"/>
      <sheetName val="Ratified CFR Budget "/>
      <sheetName val="Revised CFR Budget"/>
      <sheetName val="Staffing Ratified Budget"/>
      <sheetName val="Staffing Post September"/>
      <sheetName val="Support Staff Detailed Report"/>
      <sheetName val="Teaching Staff Detailed Report"/>
      <sheetName val="Project Group Actions"/>
      <sheetName val="Actions Impact and Risk "/>
      <sheetName val="Working CFR Budget Access"/>
      <sheetName val="Pupil Numbers "/>
      <sheetName val="EHCP Pupil and Resources"/>
      <sheetName val="Current Organisation - Example"/>
      <sheetName val="Re Org inc Costs - Example"/>
      <sheetName val="Guidance Notes (PTR)"/>
      <sheetName val="PTR, Contact Ratio"/>
      <sheetName val="Benchmarking Staffing"/>
      <sheetName val="Benchmarking Premises"/>
      <sheetName val="Benchmarking Non staff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view-my-financial-insights/user-guide-view-my-financial-insigh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EBFF-C815-4215-A761-357093A8FAB4}">
  <sheetPr codeName="Sheet1"/>
  <dimension ref="A1:EK232"/>
  <sheetViews>
    <sheetView zoomScale="80" zoomScaleNormal="80" workbookViewId="0">
      <pane ySplit="8" topLeftCell="A9" activePane="bottomLeft" state="frozen"/>
      <selection activeCell="F90" sqref="F90"/>
      <selection pane="bottomLeft" activeCell="AA9" sqref="AA9"/>
    </sheetView>
  </sheetViews>
  <sheetFormatPr defaultColWidth="9.1796875" defaultRowHeight="14.5" x14ac:dyDescent="0.35"/>
  <cols>
    <col min="1" max="1" width="9.1796875" style="33"/>
    <col min="2" max="2" width="9.1796875" style="122"/>
    <col min="3" max="3" width="8.54296875" style="59" customWidth="1"/>
    <col min="4" max="4" width="36.26953125" style="38" customWidth="1"/>
    <col min="5" max="5" width="22.54296875" style="38" customWidth="1"/>
    <col min="6" max="6" width="30" style="62" hidden="1" customWidth="1"/>
    <col min="7" max="7" width="24.1796875" style="33" hidden="1" customWidth="1"/>
    <col min="8" max="8" width="11.1796875" style="59" hidden="1" customWidth="1"/>
    <col min="9" max="9" width="17.54296875" style="59" hidden="1" customWidth="1"/>
    <col min="10" max="10" width="16.54296875" style="59" hidden="1" customWidth="1"/>
    <col min="11" max="11" width="18.453125" style="59" hidden="1" customWidth="1"/>
    <col min="12" max="13" width="17.453125" style="59" hidden="1" customWidth="1"/>
    <col min="14" max="14" width="19" style="59" hidden="1" customWidth="1"/>
    <col min="15" max="15" width="18.54296875" style="59" hidden="1" customWidth="1"/>
    <col min="16" max="16" width="16.7265625" style="59" hidden="1" customWidth="1"/>
    <col min="17" max="17" width="18.453125" style="59" hidden="1" customWidth="1"/>
    <col min="18" max="18" width="20.26953125" style="59" hidden="1" customWidth="1"/>
    <col min="19" max="19" width="13" style="59" hidden="1" customWidth="1"/>
    <col min="20" max="20" width="12.54296875" style="59" hidden="1" customWidth="1"/>
    <col min="21" max="21" width="10.54296875" style="59" hidden="1" customWidth="1"/>
    <col min="22" max="22" width="9.81640625" style="59" hidden="1" customWidth="1"/>
    <col min="23" max="23" width="10.1796875" style="59" hidden="1" customWidth="1"/>
    <col min="24" max="24" width="4.7265625" style="59" hidden="1" customWidth="1"/>
    <col min="25" max="25" width="16.54296875" style="63" customWidth="1"/>
    <col min="26" max="26" width="15.54296875" style="63" customWidth="1"/>
    <col min="27" max="27" width="13.26953125" style="63" bestFit="1" customWidth="1"/>
    <col min="28" max="28" width="15.26953125" style="64" customWidth="1"/>
    <col min="29" max="29" width="18.453125" style="64" customWidth="1"/>
    <col min="30" max="30" width="14.26953125" style="64" customWidth="1"/>
    <col min="31" max="31" width="9.7265625" style="64" customWidth="1"/>
    <col min="32" max="32" width="14.26953125" style="64" customWidth="1"/>
    <col min="33" max="33" width="14.1796875" style="64" customWidth="1"/>
    <col min="34" max="34" width="11.453125" style="64" customWidth="1"/>
    <col min="35" max="35" width="13" style="64" customWidth="1"/>
    <col min="36" max="36" width="14.1796875" style="64" customWidth="1"/>
    <col min="37" max="37" width="13.26953125" style="64" customWidth="1"/>
    <col min="38" max="38" width="10.54296875" style="64" customWidth="1"/>
    <col min="39" max="39" width="9.54296875" style="64" customWidth="1"/>
    <col min="40" max="40" width="13.26953125" style="64" customWidth="1"/>
    <col min="41" max="41" width="11.54296875" style="64" customWidth="1"/>
    <col min="42" max="46" width="9.453125" style="64" customWidth="1"/>
    <col min="47" max="49" width="13.26953125" style="64" customWidth="1"/>
    <col min="50" max="50" width="11.54296875" style="64" customWidth="1"/>
    <col min="51" max="53" width="14.26953125" style="64" customWidth="1"/>
    <col min="54" max="54" width="13.26953125" style="64" customWidth="1"/>
    <col min="55" max="55" width="14.26953125" style="64" customWidth="1"/>
    <col min="56" max="57" width="13.26953125" style="64" customWidth="1"/>
    <col min="58" max="58" width="9.54296875" style="64" customWidth="1"/>
    <col min="59" max="59" width="10.54296875" style="64" customWidth="1"/>
    <col min="60" max="60" width="14.26953125" style="64" customWidth="1"/>
    <col min="61" max="61" width="11.54296875" style="64" customWidth="1"/>
    <col min="62" max="63" width="13.26953125" style="64" customWidth="1"/>
    <col min="64" max="64" width="14.26953125" style="64" customWidth="1"/>
    <col min="65" max="66" width="13.26953125" style="64" customWidth="1"/>
    <col min="67" max="67" width="14.26953125" style="64" customWidth="1"/>
    <col min="68" max="69" width="13.26953125" style="64" customWidth="1"/>
    <col min="70" max="70" width="14.26953125" style="64" customWidth="1"/>
    <col min="71" max="71" width="13.26953125" style="64" customWidth="1"/>
    <col min="72" max="72" width="11.54296875" style="64" customWidth="1"/>
    <col min="73" max="74" width="14.26953125" style="64" customWidth="1"/>
    <col min="75" max="75" width="13.26953125" style="64" customWidth="1"/>
    <col min="76" max="76" width="14.26953125" style="64" customWidth="1"/>
    <col min="77" max="77" width="13.26953125" style="64" customWidth="1"/>
    <col min="78" max="79" width="11.54296875" style="64" customWidth="1"/>
    <col min="80" max="81" width="8.7265625" style="64" customWidth="1"/>
    <col min="82" max="84" width="13.26953125" style="64" customWidth="1"/>
    <col min="85" max="85" width="12.54296875" style="64" customWidth="1"/>
    <col min="86" max="86" width="9.453125" style="64" customWidth="1"/>
    <col min="87" max="87" width="13.81640625" style="64" bestFit="1" customWidth="1"/>
    <col min="88" max="89" width="13.26953125" style="64" customWidth="1"/>
    <col min="90" max="90" width="14.26953125" style="64" customWidth="1"/>
    <col min="91" max="91" width="9.453125" style="64" customWidth="1"/>
    <col min="92" max="92" width="22.453125" style="64" bestFit="1" customWidth="1"/>
    <col min="93" max="95" width="9.453125" style="64" customWidth="1"/>
    <col min="96" max="96" width="64.1796875" style="33" customWidth="1"/>
    <col min="97" max="98" width="15.26953125" style="33" hidden="1" customWidth="1"/>
    <col min="99" max="101" width="15.26953125" style="65" hidden="1" customWidth="1"/>
    <col min="102" max="103" width="12.81640625" style="33" hidden="1" customWidth="1"/>
    <col min="104" max="104" width="13.26953125" style="66" hidden="1" customWidth="1"/>
    <col min="105" max="105" width="13.26953125" style="33" hidden="1" customWidth="1"/>
    <col min="106" max="107" width="12.81640625" style="33" hidden="1" customWidth="1"/>
    <col min="108" max="108" width="15.26953125" style="65" hidden="1" customWidth="1"/>
    <col min="109" max="109" width="0" style="33" hidden="1" customWidth="1"/>
    <col min="110" max="110" width="11.1796875" style="33" hidden="1" customWidth="1"/>
    <col min="111" max="112" width="0" style="33" hidden="1" customWidth="1"/>
    <col min="113" max="114" width="15.26953125" style="33" hidden="1" customWidth="1"/>
    <col min="115" max="116" width="15.26953125" style="65" hidden="1" customWidth="1"/>
    <col min="117" max="120" width="0" style="33" hidden="1" customWidth="1"/>
    <col min="121" max="121" width="8.7265625" style="59" hidden="1" customWidth="1"/>
    <col min="122" max="123" width="9.1796875" style="33"/>
    <col min="124" max="124" width="16" style="33" bestFit="1" customWidth="1"/>
    <col min="125" max="126" width="20.26953125" style="33" customWidth="1"/>
    <col min="127" max="127" width="19" style="33" bestFit="1" customWidth="1"/>
    <col min="128" max="128" width="18.81640625" style="33" bestFit="1" customWidth="1"/>
    <col min="129" max="129" width="10.54296875" style="33" bestFit="1" customWidth="1"/>
    <col min="130" max="130" width="9.1796875" style="33"/>
    <col min="131" max="131" width="13" style="33" bestFit="1" customWidth="1"/>
    <col min="132" max="132" width="13.26953125" style="33" bestFit="1" customWidth="1"/>
    <col min="133" max="133" width="13.26953125" style="33" customWidth="1"/>
    <col min="134" max="134" width="14.1796875" style="33" bestFit="1" customWidth="1"/>
    <col min="135" max="136" width="12.1796875" style="33" bestFit="1" customWidth="1"/>
    <col min="137" max="137" width="13" style="33" bestFit="1" customWidth="1"/>
    <col min="138" max="138" width="11.26953125" style="33" bestFit="1" customWidth="1"/>
    <col min="139" max="139" width="11.453125" style="33" bestFit="1" customWidth="1"/>
    <col min="140" max="140" width="16.7265625" style="33" bestFit="1" customWidth="1"/>
    <col min="141" max="141" width="11.26953125" style="33" bestFit="1" customWidth="1"/>
    <col min="142" max="143" width="9.1796875" style="33"/>
    <col min="144" max="144" width="13" style="33" bestFit="1" customWidth="1"/>
    <col min="145" max="16384" width="9.1796875" style="33"/>
  </cols>
  <sheetData>
    <row r="1" spans="1:141" ht="17.25" customHeight="1" x14ac:dyDescent="0.35">
      <c r="D1" s="60" t="s">
        <v>0</v>
      </c>
      <c r="E1" s="61"/>
    </row>
    <row r="2" spans="1:141" ht="17.25" customHeight="1" x14ac:dyDescent="0.35">
      <c r="D2" s="67"/>
      <c r="E2" s="68"/>
      <c r="Z2" s="63">
        <f>SUM(Y9:Y102)+SUM(Z9:Z102)-[1]Adjustment!Q98</f>
        <v>-3.9999999105930328E-2</v>
      </c>
      <c r="AA2" s="63">
        <f>SUM(AA9:AA102)-[1]Adjustment!W98</f>
        <v>-0.42999999970197678</v>
      </c>
      <c r="CL2" s="64">
        <f>SUM(CL9:CL102)</f>
        <v>36568591.050000012</v>
      </c>
      <c r="CM2" s="64">
        <f>CL2-[1]Adjustment!K98</f>
        <v>0</v>
      </c>
      <c r="CN2" s="64">
        <f>SUM(CN9:CN102)</f>
        <v>2573275.6500000008</v>
      </c>
      <c r="CO2" s="64">
        <f>CN2-[1]Adjustment!N98</f>
        <v>-14.769999998621643</v>
      </c>
    </row>
    <row r="3" spans="1:141" ht="15.75" customHeight="1" thickBot="1" x14ac:dyDescent="0.4">
      <c r="D3" s="69" t="s">
        <v>1</v>
      </c>
      <c r="E3" s="70">
        <v>1</v>
      </c>
      <c r="AK3" s="71"/>
      <c r="CN3" s="72">
        <f>SUM(CN1:CN2)</f>
        <v>2573275.6500000008</v>
      </c>
      <c r="CO3" s="72">
        <f>SUM(CO1:CO2)</f>
        <v>-14.769999998621643</v>
      </c>
    </row>
    <row r="4" spans="1:141" x14ac:dyDescent="0.35">
      <c r="Z4" s="63" t="s">
        <v>2</v>
      </c>
    </row>
    <row r="5" spans="1:141" x14ac:dyDescent="0.35">
      <c r="B5" s="122">
        <v>1</v>
      </c>
      <c r="C5" s="59">
        <v>2</v>
      </c>
      <c r="D5" s="122">
        <v>3</v>
      </c>
      <c r="E5" s="59">
        <v>4</v>
      </c>
      <c r="F5" s="122">
        <v>5</v>
      </c>
      <c r="G5" s="59">
        <v>6</v>
      </c>
      <c r="H5" s="122">
        <v>7</v>
      </c>
      <c r="I5" s="59">
        <v>8</v>
      </c>
      <c r="J5" s="122">
        <v>9</v>
      </c>
      <c r="K5" s="59">
        <v>10</v>
      </c>
      <c r="L5" s="122">
        <v>11</v>
      </c>
      <c r="M5" s="59">
        <v>12</v>
      </c>
      <c r="N5" s="122">
        <v>13</v>
      </c>
      <c r="O5" s="59">
        <v>14</v>
      </c>
      <c r="P5" s="122">
        <v>15</v>
      </c>
      <c r="Q5" s="59">
        <v>16</v>
      </c>
      <c r="R5" s="122">
        <v>17</v>
      </c>
      <c r="S5" s="59">
        <v>18</v>
      </c>
      <c r="T5" s="122">
        <v>19</v>
      </c>
      <c r="U5" s="59">
        <v>20</v>
      </c>
      <c r="V5" s="122">
        <v>21</v>
      </c>
      <c r="W5" s="59">
        <v>22</v>
      </c>
      <c r="X5" s="122">
        <v>23</v>
      </c>
      <c r="Y5" s="59">
        <v>24</v>
      </c>
      <c r="Z5" s="122">
        <v>25</v>
      </c>
      <c r="AA5" s="59">
        <v>26</v>
      </c>
      <c r="AB5" s="122">
        <v>27</v>
      </c>
      <c r="AC5" s="59">
        <v>28</v>
      </c>
      <c r="AD5" s="122">
        <v>29</v>
      </c>
      <c r="AE5" s="59">
        <v>30</v>
      </c>
      <c r="AF5" s="122">
        <v>31</v>
      </c>
      <c r="AG5" s="59">
        <v>32</v>
      </c>
      <c r="AH5" s="122">
        <v>33</v>
      </c>
      <c r="AI5" s="59">
        <v>34</v>
      </c>
      <c r="AJ5" s="122">
        <v>35</v>
      </c>
      <c r="AK5" s="59">
        <v>36</v>
      </c>
      <c r="AL5" s="122">
        <v>37</v>
      </c>
      <c r="AM5" s="59">
        <v>38</v>
      </c>
      <c r="AN5" s="122">
        <v>39</v>
      </c>
      <c r="AO5" s="59">
        <v>40</v>
      </c>
      <c r="AP5" s="122">
        <v>41</v>
      </c>
      <c r="AQ5" s="59">
        <v>42</v>
      </c>
      <c r="AR5" s="122">
        <v>43</v>
      </c>
      <c r="AS5" s="59">
        <v>44</v>
      </c>
      <c r="AT5" s="122">
        <v>45</v>
      </c>
      <c r="AU5" s="59">
        <v>46</v>
      </c>
      <c r="AV5" s="122">
        <v>47</v>
      </c>
      <c r="AW5" s="59">
        <v>48</v>
      </c>
      <c r="AX5" s="122">
        <v>49</v>
      </c>
      <c r="AY5" s="59">
        <v>50</v>
      </c>
      <c r="AZ5" s="122">
        <v>51</v>
      </c>
      <c r="BA5" s="59">
        <v>52</v>
      </c>
      <c r="BB5" s="122">
        <v>53</v>
      </c>
      <c r="BC5" s="59">
        <v>54</v>
      </c>
      <c r="BD5" s="122">
        <v>55</v>
      </c>
      <c r="BE5" s="59">
        <v>56</v>
      </c>
      <c r="BF5" s="122">
        <v>57</v>
      </c>
      <c r="BG5" s="59">
        <v>58</v>
      </c>
      <c r="BH5" s="122">
        <v>59</v>
      </c>
      <c r="BI5" s="59">
        <v>60</v>
      </c>
      <c r="BJ5" s="122">
        <v>61</v>
      </c>
      <c r="BK5" s="59">
        <v>62</v>
      </c>
      <c r="BL5" s="122">
        <v>63</v>
      </c>
      <c r="BM5" s="59">
        <v>64</v>
      </c>
      <c r="BN5" s="122">
        <v>65</v>
      </c>
      <c r="BO5" s="59">
        <v>66</v>
      </c>
      <c r="BP5" s="122">
        <v>67</v>
      </c>
      <c r="BQ5" s="59">
        <v>68</v>
      </c>
      <c r="BR5" s="122">
        <v>69</v>
      </c>
      <c r="BS5" s="59">
        <v>70</v>
      </c>
      <c r="BT5" s="122">
        <v>71</v>
      </c>
      <c r="BU5" s="59">
        <v>72</v>
      </c>
      <c r="BV5" s="122">
        <v>73</v>
      </c>
      <c r="BW5" s="59">
        <v>74</v>
      </c>
      <c r="BX5" s="122">
        <v>75</v>
      </c>
      <c r="BY5" s="59">
        <v>76</v>
      </c>
      <c r="BZ5" s="122">
        <v>77</v>
      </c>
      <c r="CA5" s="59">
        <v>78</v>
      </c>
      <c r="CB5" s="122">
        <v>79</v>
      </c>
      <c r="CC5" s="59">
        <v>80</v>
      </c>
      <c r="CD5" s="122">
        <v>81</v>
      </c>
      <c r="CE5" s="59">
        <v>82</v>
      </c>
      <c r="CF5" s="122">
        <v>83</v>
      </c>
      <c r="CG5" s="59">
        <v>84</v>
      </c>
      <c r="CH5" s="122">
        <v>85</v>
      </c>
      <c r="CI5" s="59">
        <v>86</v>
      </c>
      <c r="CJ5" s="122">
        <v>87</v>
      </c>
      <c r="CK5" s="59">
        <v>88</v>
      </c>
      <c r="CL5" s="122">
        <v>89</v>
      </c>
      <c r="CM5" s="59">
        <v>90</v>
      </c>
      <c r="CN5" s="122">
        <v>91</v>
      </c>
      <c r="CO5" s="59">
        <v>92</v>
      </c>
      <c r="CP5" s="122">
        <v>93</v>
      </c>
      <c r="CQ5" s="59">
        <v>94</v>
      </c>
      <c r="CR5" s="122">
        <v>95</v>
      </c>
      <c r="CS5" s="407" t="s">
        <v>3</v>
      </c>
      <c r="CT5" s="407"/>
      <c r="CU5" s="407"/>
      <c r="CV5" s="407"/>
      <c r="CW5" s="407"/>
      <c r="CX5" s="407"/>
      <c r="CY5" s="66"/>
      <c r="DB5" s="66"/>
      <c r="DC5" s="66"/>
      <c r="DD5" s="66"/>
      <c r="DI5" s="66" t="s">
        <v>3</v>
      </c>
      <c r="DJ5" s="66"/>
      <c r="DK5" s="66"/>
      <c r="DL5" s="66"/>
    </row>
    <row r="6" spans="1:141" x14ac:dyDescent="0.35">
      <c r="C6" s="408" t="s">
        <v>4</v>
      </c>
      <c r="D6" s="409"/>
      <c r="E6" s="409"/>
      <c r="F6" s="409"/>
      <c r="G6" s="409"/>
      <c r="H6" s="409"/>
      <c r="I6" s="409"/>
      <c r="J6" s="409"/>
      <c r="K6" s="409"/>
      <c r="L6" s="409"/>
      <c r="M6" s="409"/>
      <c r="N6" s="409"/>
      <c r="O6" s="409"/>
      <c r="P6" s="409"/>
      <c r="Q6" s="409"/>
      <c r="R6" s="409"/>
      <c r="S6" s="409"/>
      <c r="T6" s="409"/>
      <c r="U6" s="409"/>
      <c r="V6" s="409"/>
      <c r="W6" s="409"/>
      <c r="X6" s="410"/>
      <c r="Y6" s="411" t="s">
        <v>5</v>
      </c>
      <c r="Z6" s="412"/>
      <c r="AA6" s="412"/>
      <c r="AB6" s="413" t="s">
        <v>6</v>
      </c>
      <c r="AC6" s="414"/>
      <c r="AD6" s="414"/>
      <c r="AE6" s="414"/>
      <c r="AF6" s="414"/>
      <c r="AG6" s="414"/>
      <c r="AH6" s="414"/>
      <c r="AI6" s="414"/>
      <c r="AJ6" s="414"/>
      <c r="AK6" s="414"/>
      <c r="AL6" s="414"/>
      <c r="AM6" s="414"/>
      <c r="AN6" s="414"/>
      <c r="AO6" s="414"/>
      <c r="AP6" s="414"/>
      <c r="AQ6" s="414"/>
      <c r="AR6" s="414"/>
      <c r="AS6" s="414"/>
      <c r="AT6" s="414"/>
      <c r="AU6" s="414"/>
      <c r="AV6" s="415"/>
      <c r="AW6" s="416" t="s">
        <v>7</v>
      </c>
      <c r="AX6" s="417"/>
      <c r="AY6" s="417"/>
      <c r="AZ6" s="417"/>
      <c r="BA6" s="417"/>
      <c r="BB6" s="417"/>
      <c r="BC6" s="417"/>
      <c r="BD6" s="417"/>
      <c r="BE6" s="417"/>
      <c r="BF6" s="417"/>
      <c r="BG6" s="417"/>
      <c r="BH6" s="417"/>
      <c r="BI6" s="417"/>
      <c r="BJ6" s="417"/>
      <c r="BK6" s="417"/>
      <c r="BL6" s="417"/>
      <c r="BM6" s="417"/>
      <c r="BN6" s="417"/>
      <c r="BO6" s="417"/>
      <c r="BP6" s="417"/>
      <c r="BQ6" s="417"/>
      <c r="BR6" s="417"/>
      <c r="BS6" s="417"/>
      <c r="BT6" s="417"/>
      <c r="BU6" s="417"/>
      <c r="BV6" s="417"/>
      <c r="BW6" s="417"/>
      <c r="BX6" s="417"/>
      <c r="BY6" s="417"/>
      <c r="BZ6" s="417"/>
      <c r="CA6" s="417"/>
      <c r="CB6" s="417"/>
      <c r="CC6" s="418"/>
      <c r="CD6" s="419" t="s">
        <v>8</v>
      </c>
      <c r="CE6" s="420"/>
      <c r="CF6" s="420"/>
      <c r="CG6" s="420" t="s">
        <v>9</v>
      </c>
      <c r="CH6" s="420"/>
      <c r="CI6" s="420"/>
      <c r="CJ6" s="420"/>
      <c r="CK6" s="420"/>
      <c r="CL6" s="421" t="s">
        <v>10</v>
      </c>
      <c r="CM6" s="422"/>
      <c r="CN6" s="422"/>
      <c r="CO6" s="422"/>
      <c r="CP6" s="422"/>
      <c r="CQ6" s="419"/>
      <c r="CR6" s="423" t="s">
        <v>11</v>
      </c>
      <c r="CS6" s="407" t="s">
        <v>12</v>
      </c>
      <c r="CT6" s="407"/>
      <c r="CU6" s="406" t="s">
        <v>13</v>
      </c>
      <c r="CV6" s="406"/>
      <c r="CY6" s="33" t="s">
        <v>14</v>
      </c>
      <c r="DD6" s="33"/>
      <c r="DI6" s="407" t="s">
        <v>12</v>
      </c>
      <c r="DJ6" s="407"/>
      <c r="DK6" s="406" t="s">
        <v>13</v>
      </c>
      <c r="DL6" s="406"/>
      <c r="DQ6" s="33"/>
    </row>
    <row r="7" spans="1:141" ht="65" x14ac:dyDescent="0.35">
      <c r="C7" s="73" t="s">
        <v>15</v>
      </c>
      <c r="D7" s="74" t="s">
        <v>16</v>
      </c>
      <c r="E7" s="74" t="s">
        <v>17</v>
      </c>
      <c r="F7" s="75" t="s">
        <v>18</v>
      </c>
      <c r="G7" s="73" t="s">
        <v>19</v>
      </c>
      <c r="H7" s="73" t="s">
        <v>20</v>
      </c>
      <c r="I7" s="73" t="s">
        <v>21</v>
      </c>
      <c r="J7" s="73" t="s">
        <v>22</v>
      </c>
      <c r="K7" s="73" t="s">
        <v>23</v>
      </c>
      <c r="L7" s="73" t="s">
        <v>24</v>
      </c>
      <c r="M7" s="73" t="s">
        <v>25</v>
      </c>
      <c r="N7" s="73" t="s">
        <v>26</v>
      </c>
      <c r="O7" s="73" t="s">
        <v>27</v>
      </c>
      <c r="P7" s="73" t="s">
        <v>28</v>
      </c>
      <c r="Q7" s="73" t="s">
        <v>29</v>
      </c>
      <c r="R7" s="73" t="s">
        <v>30</v>
      </c>
      <c r="S7" s="73" t="s">
        <v>31</v>
      </c>
      <c r="T7" s="76" t="s">
        <v>32</v>
      </c>
      <c r="U7" s="76" t="s">
        <v>33</v>
      </c>
      <c r="V7" s="76" t="s">
        <v>34</v>
      </c>
      <c r="W7" s="76" t="s">
        <v>35</v>
      </c>
      <c r="X7" s="76" t="s">
        <v>36</v>
      </c>
      <c r="Y7" s="77" t="s">
        <v>37</v>
      </c>
      <c r="Z7" s="77" t="s">
        <v>38</v>
      </c>
      <c r="AA7" s="77" t="s">
        <v>39</v>
      </c>
      <c r="AB7" s="78" t="s">
        <v>40</v>
      </c>
      <c r="AC7" s="78" t="s">
        <v>41</v>
      </c>
      <c r="AD7" s="78" t="s">
        <v>42</v>
      </c>
      <c r="AE7" s="78" t="s">
        <v>43</v>
      </c>
      <c r="AF7" s="78" t="s">
        <v>44</v>
      </c>
      <c r="AG7" s="78" t="s">
        <v>45</v>
      </c>
      <c r="AH7" s="78" t="s">
        <v>46</v>
      </c>
      <c r="AI7" s="78" t="s">
        <v>47</v>
      </c>
      <c r="AJ7" s="78" t="s">
        <v>48</v>
      </c>
      <c r="AK7" s="78" t="s">
        <v>49</v>
      </c>
      <c r="AL7" s="78" t="s">
        <v>50</v>
      </c>
      <c r="AM7" s="78" t="s">
        <v>51</v>
      </c>
      <c r="AN7" s="78" t="s">
        <v>52</v>
      </c>
      <c r="AO7" s="78" t="s">
        <v>53</v>
      </c>
      <c r="AP7" s="78" t="s">
        <v>54</v>
      </c>
      <c r="AQ7" s="78" t="s">
        <v>55</v>
      </c>
      <c r="AR7" s="78" t="s">
        <v>56</v>
      </c>
      <c r="AS7" s="78" t="s">
        <v>57</v>
      </c>
      <c r="AT7" s="78" t="s">
        <v>58</v>
      </c>
      <c r="AU7" s="78" t="s">
        <v>59</v>
      </c>
      <c r="AV7" s="79" t="s">
        <v>60</v>
      </c>
      <c r="AW7" s="78" t="s">
        <v>61</v>
      </c>
      <c r="AX7" s="78" t="s">
        <v>62</v>
      </c>
      <c r="AY7" s="78" t="s">
        <v>63</v>
      </c>
      <c r="AZ7" s="78" t="s">
        <v>64</v>
      </c>
      <c r="BA7" s="78" t="s">
        <v>65</v>
      </c>
      <c r="BB7" s="78" t="s">
        <v>66</v>
      </c>
      <c r="BC7" s="78" t="s">
        <v>67</v>
      </c>
      <c r="BD7" s="78" t="s">
        <v>68</v>
      </c>
      <c r="BE7" s="78" t="s">
        <v>69</v>
      </c>
      <c r="BF7" s="78" t="s">
        <v>70</v>
      </c>
      <c r="BG7" s="78" t="s">
        <v>71</v>
      </c>
      <c r="BH7" s="78" t="s">
        <v>72</v>
      </c>
      <c r="BI7" s="78" t="s">
        <v>73</v>
      </c>
      <c r="BJ7" s="78" t="s">
        <v>74</v>
      </c>
      <c r="BK7" s="78" t="s">
        <v>75</v>
      </c>
      <c r="BL7" s="78" t="s">
        <v>76</v>
      </c>
      <c r="BM7" s="78" t="s">
        <v>77</v>
      </c>
      <c r="BN7" s="78" t="s">
        <v>78</v>
      </c>
      <c r="BO7" s="78" t="s">
        <v>79</v>
      </c>
      <c r="BP7" s="78" t="s">
        <v>80</v>
      </c>
      <c r="BQ7" s="78" t="s">
        <v>81</v>
      </c>
      <c r="BR7" s="78" t="s">
        <v>82</v>
      </c>
      <c r="BS7" s="78" t="s">
        <v>83</v>
      </c>
      <c r="BT7" s="78" t="s">
        <v>84</v>
      </c>
      <c r="BU7" s="78" t="s">
        <v>85</v>
      </c>
      <c r="BV7" s="78" t="s">
        <v>86</v>
      </c>
      <c r="BW7" s="78" t="s">
        <v>87</v>
      </c>
      <c r="BX7" s="78" t="s">
        <v>88</v>
      </c>
      <c r="BY7" s="78" t="s">
        <v>89</v>
      </c>
      <c r="BZ7" s="78" t="s">
        <v>90</v>
      </c>
      <c r="CA7" s="78" t="s">
        <v>91</v>
      </c>
      <c r="CB7" s="78" t="s">
        <v>92</v>
      </c>
      <c r="CC7" s="78" t="s">
        <v>93</v>
      </c>
      <c r="CD7" s="78" t="s">
        <v>94</v>
      </c>
      <c r="CE7" s="78" t="s">
        <v>95</v>
      </c>
      <c r="CF7" s="78" t="s">
        <v>96</v>
      </c>
      <c r="CG7" s="78" t="s">
        <v>97</v>
      </c>
      <c r="CH7" s="78" t="s">
        <v>98</v>
      </c>
      <c r="CI7" s="78" t="s">
        <v>99</v>
      </c>
      <c r="CJ7" s="78" t="s">
        <v>100</v>
      </c>
      <c r="CK7" s="78" t="s">
        <v>101</v>
      </c>
      <c r="CL7" s="78" t="s">
        <v>102</v>
      </c>
      <c r="CM7" s="78" t="s">
        <v>103</v>
      </c>
      <c r="CN7" s="78" t="s">
        <v>104</v>
      </c>
      <c r="CO7" s="78" t="s">
        <v>105</v>
      </c>
      <c r="CP7" s="78" t="s">
        <v>106</v>
      </c>
      <c r="CQ7" s="78" t="s">
        <v>107</v>
      </c>
      <c r="CR7" s="424"/>
      <c r="CS7" s="80" t="s">
        <v>108</v>
      </c>
      <c r="CT7" s="80" t="s">
        <v>109</v>
      </c>
      <c r="CU7" s="80" t="s">
        <v>108</v>
      </c>
      <c r="CV7" s="80" t="s">
        <v>109</v>
      </c>
      <c r="CW7" s="80" t="s">
        <v>110</v>
      </c>
      <c r="CX7" s="81" t="s">
        <v>111</v>
      </c>
      <c r="CY7" s="81" t="s">
        <v>112</v>
      </c>
      <c r="CZ7" s="66" t="s">
        <v>113</v>
      </c>
      <c r="DA7" s="33" t="s">
        <v>114</v>
      </c>
      <c r="DB7" s="81" t="s">
        <v>115</v>
      </c>
      <c r="DC7" s="81" t="s">
        <v>116</v>
      </c>
      <c r="DD7" s="80" t="s">
        <v>91</v>
      </c>
      <c r="DF7" s="80" t="s">
        <v>117</v>
      </c>
      <c r="DI7" s="80" t="s">
        <v>108</v>
      </c>
      <c r="DJ7" s="80" t="s">
        <v>109</v>
      </c>
      <c r="DK7" s="80" t="s">
        <v>108</v>
      </c>
      <c r="DL7" s="80" t="s">
        <v>109</v>
      </c>
      <c r="DQ7" s="73" t="s">
        <v>15</v>
      </c>
      <c r="DT7" s="33" t="s">
        <v>118</v>
      </c>
      <c r="DU7" s="33" t="s">
        <v>119</v>
      </c>
      <c r="DV7" s="33" t="s">
        <v>120</v>
      </c>
      <c r="DW7" s="33" t="s">
        <v>121</v>
      </c>
      <c r="DX7" s="33" t="s">
        <v>122</v>
      </c>
      <c r="DY7" s="33" t="s">
        <v>123</v>
      </c>
      <c r="EA7" s="33" t="s">
        <v>124</v>
      </c>
      <c r="EG7" s="33" t="s">
        <v>125</v>
      </c>
    </row>
    <row r="8" spans="1:141" x14ac:dyDescent="0.35">
      <c r="C8" s="82" t="s">
        <v>126</v>
      </c>
      <c r="D8" s="83" t="s">
        <v>127</v>
      </c>
      <c r="E8" s="83"/>
      <c r="F8" s="84"/>
      <c r="G8" s="82"/>
      <c r="H8" s="82"/>
      <c r="I8" s="82"/>
      <c r="J8" s="82"/>
      <c r="K8" s="82"/>
      <c r="L8" s="82"/>
      <c r="M8" s="82"/>
      <c r="N8" s="82"/>
      <c r="O8" s="82"/>
      <c r="P8" s="82"/>
      <c r="Q8" s="82"/>
      <c r="R8" s="82"/>
      <c r="S8" s="82"/>
      <c r="T8" s="82"/>
      <c r="U8" s="82"/>
      <c r="V8" s="82"/>
      <c r="W8" s="82"/>
      <c r="X8" s="82"/>
      <c r="Y8" s="85">
        <f>SUM(Y9:Y224)</f>
        <v>74283182.200000003</v>
      </c>
      <c r="Z8" s="85">
        <f t="shared" ref="Z8:CK8" si="0">SUM(Z9:Z224)</f>
        <v>-5283636.75</v>
      </c>
      <c r="AA8" s="85">
        <f t="shared" si="0"/>
        <v>1630355.1600000004</v>
      </c>
      <c r="AB8" s="85">
        <f t="shared" si="0"/>
        <v>426510067.97000009</v>
      </c>
      <c r="AC8" s="85">
        <f t="shared" si="0"/>
        <v>9315162.3300000001</v>
      </c>
      <c r="AD8" s="85">
        <f t="shared" si="0"/>
        <v>81569822.189999968</v>
      </c>
      <c r="AE8" s="85">
        <f t="shared" si="0"/>
        <v>0</v>
      </c>
      <c r="AF8" s="85">
        <f t="shared" si="0"/>
        <v>39569851</v>
      </c>
      <c r="AG8" s="85">
        <f t="shared" si="0"/>
        <v>1230728.2600000014</v>
      </c>
      <c r="AH8" s="85">
        <f t="shared" si="0"/>
        <v>7200</v>
      </c>
      <c r="AI8" s="85">
        <f t="shared" si="0"/>
        <v>0</v>
      </c>
      <c r="AJ8" s="85">
        <f t="shared" si="0"/>
        <v>49901946.130000018</v>
      </c>
      <c r="AK8" s="85">
        <f t="shared" si="0"/>
        <v>1983962.7599999993</v>
      </c>
      <c r="AL8" s="85">
        <f t="shared" si="0"/>
        <v>47736.83</v>
      </c>
      <c r="AM8" s="85">
        <f t="shared" si="0"/>
        <v>2095.1</v>
      </c>
      <c r="AN8" s="85">
        <f t="shared" si="0"/>
        <v>5328217.4200000018</v>
      </c>
      <c r="AO8" s="85">
        <f t="shared" si="0"/>
        <v>341315.18999999994</v>
      </c>
      <c r="AP8" s="85">
        <f t="shared" si="0"/>
        <v>0</v>
      </c>
      <c r="AQ8" s="85">
        <f t="shared" si="0"/>
        <v>0</v>
      </c>
      <c r="AR8" s="85">
        <f t="shared" si="0"/>
        <v>0</v>
      </c>
      <c r="AS8" s="85">
        <f t="shared" si="0"/>
        <v>0</v>
      </c>
      <c r="AT8" s="85">
        <f t="shared" si="0"/>
        <v>0</v>
      </c>
      <c r="AU8" s="85">
        <f t="shared" si="0"/>
        <v>6729717.7799999956</v>
      </c>
      <c r="AV8" s="85">
        <f t="shared" si="0"/>
        <v>10003599</v>
      </c>
      <c r="AW8" s="85">
        <f t="shared" si="0"/>
        <v>270684246.32000005</v>
      </c>
      <c r="AX8" s="85">
        <f t="shared" si="0"/>
        <v>421873.61999999994</v>
      </c>
      <c r="AY8" s="85">
        <f t="shared" si="0"/>
        <v>91610641.890000001</v>
      </c>
      <c r="AZ8" s="85">
        <f t="shared" si="0"/>
        <v>11440496.179999998</v>
      </c>
      <c r="BA8" s="85">
        <f t="shared" si="0"/>
        <v>46628008.089999989</v>
      </c>
      <c r="BB8" s="85">
        <f t="shared" si="0"/>
        <v>3333858.3400000003</v>
      </c>
      <c r="BC8" s="85">
        <f t="shared" si="0"/>
        <v>13602357.010000005</v>
      </c>
      <c r="BD8" s="85">
        <f t="shared" si="0"/>
        <v>1726927.3500000006</v>
      </c>
      <c r="BE8" s="85">
        <f t="shared" si="0"/>
        <v>1650630.0299999991</v>
      </c>
      <c r="BF8" s="85">
        <f t="shared" si="0"/>
        <v>56.33</v>
      </c>
      <c r="BG8" s="85">
        <f t="shared" si="0"/>
        <v>45928.090000000004</v>
      </c>
      <c r="BH8" s="85">
        <f t="shared" si="0"/>
        <v>14260624.860000001</v>
      </c>
      <c r="BI8" s="85">
        <f t="shared" si="0"/>
        <v>849643.09999999951</v>
      </c>
      <c r="BJ8" s="85">
        <f t="shared" si="0"/>
        <v>4267805.9000000004</v>
      </c>
      <c r="BK8" s="85">
        <f t="shared" si="0"/>
        <v>1450682.5799999996</v>
      </c>
      <c r="BL8" s="85">
        <f t="shared" si="0"/>
        <v>15480562.029999988</v>
      </c>
      <c r="BM8" s="85">
        <f t="shared" si="0"/>
        <v>2113535.0799999996</v>
      </c>
      <c r="BN8" s="85">
        <f t="shared" si="0"/>
        <v>3197766.3300000005</v>
      </c>
      <c r="BO8" s="85">
        <f t="shared" si="0"/>
        <v>20445749.489999983</v>
      </c>
      <c r="BP8" s="85">
        <f t="shared" si="0"/>
        <v>3925921.6400000015</v>
      </c>
      <c r="BQ8" s="85">
        <f t="shared" si="0"/>
        <v>2680748.0899999994</v>
      </c>
      <c r="BR8" s="85">
        <f t="shared" si="0"/>
        <v>15454354.33</v>
      </c>
      <c r="BS8" s="85">
        <f t="shared" si="0"/>
        <v>1272669.3599999999</v>
      </c>
      <c r="BT8" s="85">
        <f t="shared" si="0"/>
        <v>956681.25999999978</v>
      </c>
      <c r="BU8" s="85">
        <f t="shared" si="0"/>
        <v>21756860.739999991</v>
      </c>
      <c r="BV8" s="85">
        <f t="shared" si="0"/>
        <v>27776234.479999989</v>
      </c>
      <c r="BW8" s="85">
        <f t="shared" si="0"/>
        <v>4717645.2699999996</v>
      </c>
      <c r="BX8" s="85">
        <f t="shared" si="0"/>
        <v>34046076.999999985</v>
      </c>
      <c r="BY8" s="85">
        <f t="shared" si="0"/>
        <v>2300708.04</v>
      </c>
      <c r="BZ8" s="85">
        <f t="shared" si="0"/>
        <v>0</v>
      </c>
      <c r="CA8" s="85">
        <f t="shared" si="0"/>
        <v>1594179.4499999997</v>
      </c>
      <c r="CB8" s="85">
        <f t="shared" si="0"/>
        <v>0</v>
      </c>
      <c r="CC8" s="85">
        <f t="shared" si="0"/>
        <v>0</v>
      </c>
      <c r="CD8" s="85">
        <f t="shared" si="0"/>
        <v>2087920.7799999982</v>
      </c>
      <c r="CE8" s="85">
        <f t="shared" si="0"/>
        <v>2119368.39</v>
      </c>
      <c r="CF8" s="85">
        <f t="shared" si="0"/>
        <v>1594179.4499999997</v>
      </c>
      <c r="CG8" s="85">
        <f t="shared" si="0"/>
        <v>0</v>
      </c>
      <c r="CH8" s="85">
        <f t="shared" si="0"/>
        <v>0</v>
      </c>
      <c r="CI8" s="85">
        <f t="shared" si="0"/>
        <v>1019460.7400000003</v>
      </c>
      <c r="CJ8" s="85">
        <f t="shared" si="0"/>
        <v>1942307.39</v>
      </c>
      <c r="CK8" s="85">
        <f t="shared" si="0"/>
        <v>398965.27</v>
      </c>
      <c r="CL8" s="85">
        <f t="shared" ref="CL8:CQ8" si="1">SUM(CL9:CL224)</f>
        <v>69573140.789999992</v>
      </c>
      <c r="CM8" s="85">
        <f t="shared" si="1"/>
        <v>0</v>
      </c>
      <c r="CN8" s="85">
        <f t="shared" si="1"/>
        <v>4071090.3800000004</v>
      </c>
      <c r="CO8" s="85">
        <f t="shared" si="1"/>
        <v>0</v>
      </c>
      <c r="CP8" s="85">
        <f t="shared" si="1"/>
        <v>0</v>
      </c>
      <c r="CQ8" s="85">
        <f t="shared" si="1"/>
        <v>0</v>
      </c>
      <c r="CR8" s="86">
        <v>0</v>
      </c>
      <c r="CS8" s="86">
        <v>0</v>
      </c>
      <c r="CT8" s="86">
        <v>0</v>
      </c>
      <c r="CU8" s="86">
        <v>0</v>
      </c>
      <c r="CV8" s="86">
        <v>0</v>
      </c>
      <c r="CW8" s="86">
        <v>0</v>
      </c>
      <c r="CX8" s="86">
        <v>0</v>
      </c>
      <c r="CY8" s="86">
        <v>0</v>
      </c>
      <c r="CZ8" s="86">
        <v>0</v>
      </c>
      <c r="DA8" s="86">
        <v>0</v>
      </c>
      <c r="DB8" s="86">
        <v>0</v>
      </c>
      <c r="DC8" s="86">
        <v>0</v>
      </c>
      <c r="DD8" s="86">
        <v>0</v>
      </c>
      <c r="DE8" s="86">
        <v>0</v>
      </c>
      <c r="DF8" s="86">
        <v>0</v>
      </c>
      <c r="DG8" s="86">
        <v>0</v>
      </c>
      <c r="DH8" s="86">
        <v>0</v>
      </c>
      <c r="DI8" s="86">
        <v>0</v>
      </c>
      <c r="DJ8" s="86">
        <v>0</v>
      </c>
      <c r="DK8" s="86">
        <v>0</v>
      </c>
      <c r="DL8" s="86">
        <v>0</v>
      </c>
      <c r="DM8" s="86">
        <v>0</v>
      </c>
      <c r="DN8" s="86">
        <v>0</v>
      </c>
      <c r="DO8" s="86">
        <v>0</v>
      </c>
      <c r="DP8" s="86">
        <v>0</v>
      </c>
      <c r="DQ8" s="86">
        <v>0</v>
      </c>
      <c r="DR8" s="86">
        <v>0</v>
      </c>
      <c r="EA8" s="33" t="s">
        <v>128</v>
      </c>
      <c r="EB8" s="33" t="s">
        <v>129</v>
      </c>
      <c r="EC8" s="33" t="s">
        <v>130</v>
      </c>
      <c r="ED8" s="33" t="s">
        <v>131</v>
      </c>
      <c r="EG8" s="33" t="s">
        <v>128</v>
      </c>
      <c r="EH8" s="33" t="s">
        <v>129</v>
      </c>
      <c r="EI8" s="33" t="s">
        <v>130</v>
      </c>
      <c r="EJ8" s="33" t="s">
        <v>132</v>
      </c>
      <c r="EK8" s="33" t="s">
        <v>133</v>
      </c>
    </row>
    <row r="9" spans="1:141" s="87" customFormat="1" x14ac:dyDescent="0.35">
      <c r="A9" s="87" t="str">
        <f>_xlfn.XLOOKUP(C9,[1]Adjustment!B:B,[1]Adjustment!H:H,0,0)</f>
        <v>Agree</v>
      </c>
      <c r="B9" s="87">
        <v>1001</v>
      </c>
      <c r="C9" s="88">
        <v>3301001</v>
      </c>
      <c r="D9" s="89" t="s">
        <v>134</v>
      </c>
      <c r="E9" s="89" t="s">
        <v>135</v>
      </c>
      <c r="F9" s="90"/>
      <c r="G9" s="91"/>
      <c r="H9" s="92"/>
      <c r="I9" s="92"/>
      <c r="J9" s="92"/>
      <c r="K9" s="92"/>
      <c r="L9" s="92"/>
      <c r="M9" s="92"/>
      <c r="N9" s="92"/>
      <c r="O9" s="92"/>
      <c r="P9" s="92"/>
      <c r="Q9" s="92"/>
      <c r="R9" s="92"/>
      <c r="S9" s="92"/>
      <c r="T9" s="92"/>
      <c r="U9" s="92"/>
      <c r="V9" s="92"/>
      <c r="W9" s="92"/>
      <c r="X9" s="92"/>
      <c r="Y9" s="93"/>
      <c r="Z9" s="93">
        <v>-24175.01</v>
      </c>
      <c r="AA9" s="93">
        <v>26277.23</v>
      </c>
      <c r="AB9" s="93">
        <v>444959.55</v>
      </c>
      <c r="AC9" s="93">
        <v>0</v>
      </c>
      <c r="AD9" s="93">
        <v>0</v>
      </c>
      <c r="AE9" s="93">
        <v>0</v>
      </c>
      <c r="AF9" s="93">
        <v>0</v>
      </c>
      <c r="AG9" s="93">
        <v>0</v>
      </c>
      <c r="AH9" s="93">
        <v>0</v>
      </c>
      <c r="AI9" s="93">
        <v>0</v>
      </c>
      <c r="AJ9" s="93">
        <v>16458.420000000096</v>
      </c>
      <c r="AK9" s="93">
        <v>0</v>
      </c>
      <c r="AL9" s="93">
        <v>0</v>
      </c>
      <c r="AM9" s="93">
        <v>0</v>
      </c>
      <c r="AN9" s="93">
        <v>3113.52</v>
      </c>
      <c r="AO9" s="93">
        <v>0</v>
      </c>
      <c r="AP9" s="93">
        <v>0</v>
      </c>
      <c r="AQ9" s="93">
        <v>0</v>
      </c>
      <c r="AR9" s="93">
        <v>0</v>
      </c>
      <c r="AS9" s="93">
        <v>0</v>
      </c>
      <c r="AT9" s="93">
        <v>0</v>
      </c>
      <c r="AU9" s="93">
        <v>0</v>
      </c>
      <c r="AV9" s="93">
        <v>0</v>
      </c>
      <c r="AW9" s="93">
        <v>44408.640000000029</v>
      </c>
      <c r="AX9" s="93">
        <v>0</v>
      </c>
      <c r="AY9" s="93">
        <v>152015.23000000001</v>
      </c>
      <c r="AZ9" s="93">
        <v>5520.6</v>
      </c>
      <c r="BA9" s="93">
        <v>65157.85</v>
      </c>
      <c r="BB9" s="93">
        <v>0</v>
      </c>
      <c r="BC9" s="93">
        <v>11675.54</v>
      </c>
      <c r="BD9" s="93">
        <v>518</v>
      </c>
      <c r="BE9" s="93">
        <v>2454.65</v>
      </c>
      <c r="BF9" s="93">
        <v>0</v>
      </c>
      <c r="BG9" s="93">
        <v>0</v>
      </c>
      <c r="BH9" s="93">
        <v>11349.54</v>
      </c>
      <c r="BI9" s="93">
        <v>0</v>
      </c>
      <c r="BJ9" s="93">
        <v>22017.89</v>
      </c>
      <c r="BK9" s="93">
        <v>3552.06</v>
      </c>
      <c r="BL9" s="93">
        <v>14033.13</v>
      </c>
      <c r="BM9" s="93">
        <v>0</v>
      </c>
      <c r="BN9" s="93">
        <v>16770.439999999999</v>
      </c>
      <c r="BO9" s="93">
        <v>12944.62</v>
      </c>
      <c r="BP9" s="93">
        <v>0</v>
      </c>
      <c r="BQ9" s="93">
        <v>0</v>
      </c>
      <c r="BR9" s="93">
        <v>15084.03</v>
      </c>
      <c r="BS9" s="93">
        <v>3135</v>
      </c>
      <c r="BT9" s="93">
        <v>0</v>
      </c>
      <c r="BU9" s="93">
        <v>1334.07</v>
      </c>
      <c r="BV9" s="93">
        <v>57186.27</v>
      </c>
      <c r="BW9" s="93">
        <v>2228</v>
      </c>
      <c r="BX9" s="93">
        <v>45033.93</v>
      </c>
      <c r="BY9" s="93">
        <v>0</v>
      </c>
      <c r="BZ9" s="93">
        <v>0</v>
      </c>
      <c r="CA9" s="93"/>
      <c r="CB9" s="93">
        <v>0</v>
      </c>
      <c r="CC9" s="93">
        <v>0</v>
      </c>
      <c r="CD9" s="93">
        <v>4702</v>
      </c>
      <c r="CE9" s="93">
        <v>10843.289999999994</v>
      </c>
      <c r="CF9" s="93">
        <v>0</v>
      </c>
      <c r="CG9" s="93">
        <v>0</v>
      </c>
      <c r="CH9" s="93">
        <v>0</v>
      </c>
      <c r="CI9" s="93">
        <v>0</v>
      </c>
      <c r="CJ9" s="93">
        <v>2471.29</v>
      </c>
      <c r="CK9" s="93"/>
      <c r="CL9" s="93">
        <v>-46063.010000000009</v>
      </c>
      <c r="CM9" s="93"/>
      <c r="CN9" s="93">
        <v>39351.229999999989</v>
      </c>
      <c r="CO9" s="93">
        <v>0</v>
      </c>
      <c r="CP9" s="93">
        <v>0</v>
      </c>
      <c r="CQ9" s="93">
        <v>0</v>
      </c>
      <c r="CR9" s="94"/>
      <c r="CS9" s="95">
        <v>-57705.169999999969</v>
      </c>
      <c r="CT9" s="95">
        <v>0</v>
      </c>
      <c r="CU9" s="96">
        <v>-44501.17</v>
      </c>
      <c r="CV9" s="96">
        <v>-13204</v>
      </c>
      <c r="CW9" s="96">
        <v>-13203.999999999971</v>
      </c>
      <c r="CX9" s="95">
        <v>13204</v>
      </c>
      <c r="CY9" s="95">
        <v>-57705.17</v>
      </c>
      <c r="CZ9" s="97">
        <v>0</v>
      </c>
      <c r="DA9" s="95">
        <v>63396.98000000001</v>
      </c>
      <c r="DB9" s="95">
        <v>112.98999999990338</v>
      </c>
      <c r="DC9" s="95">
        <v>0</v>
      </c>
      <c r="DD9" s="96">
        <v>-13204</v>
      </c>
      <c r="DF9" s="95">
        <v>2.9103830456733704E-11</v>
      </c>
      <c r="DI9" s="95">
        <v>-57705.169999999969</v>
      </c>
      <c r="DJ9" s="95">
        <v>0</v>
      </c>
      <c r="DK9" s="96">
        <v>-44501.17</v>
      </c>
      <c r="DL9" s="96">
        <v>-13204</v>
      </c>
      <c r="DQ9" s="88">
        <v>3301001</v>
      </c>
      <c r="DT9" s="95">
        <f t="shared" ref="DT9:DT72" si="2">SUM(AB9:AV9)</f>
        <v>464531.49000000011</v>
      </c>
      <c r="DU9" s="95">
        <f t="shared" ref="DU9:DU72" si="3">SUM(AW9:CA9)</f>
        <v>486419.49000000011</v>
      </c>
      <c r="DV9" s="95">
        <f t="shared" ref="DV9:DV72" si="4">DT9-DU9</f>
        <v>-21888</v>
      </c>
      <c r="DW9" s="95">
        <f t="shared" ref="DW9:DW72" si="5">SUM(CD9:CF9)</f>
        <v>15545.289999999994</v>
      </c>
      <c r="DX9" s="95">
        <f t="shared" ref="DX9:DX72" si="6">SUM(CH9:CK9)</f>
        <v>2471.29</v>
      </c>
      <c r="DY9" s="95">
        <f>DW9-DX9</f>
        <v>13073.999999999993</v>
      </c>
      <c r="EA9" s="95">
        <f>SUM(Y9:Z9)</f>
        <v>-24175.01</v>
      </c>
      <c r="EB9" s="95">
        <f>SUM(AB9:AV9)-SUM(AW9:CA9)</f>
        <v>-21888</v>
      </c>
      <c r="EC9" s="95">
        <f>EA9+EB9</f>
        <v>-46063.009999999995</v>
      </c>
      <c r="ED9" s="95">
        <v>-46063.009999999995</v>
      </c>
      <c r="EE9" s="95">
        <f t="shared" ref="EE9:EE72" si="7">EC9-ED9</f>
        <v>0</v>
      </c>
      <c r="EF9" s="95"/>
      <c r="EG9" s="95">
        <f>AA9</f>
        <v>26277.23</v>
      </c>
      <c r="EH9" s="95">
        <f t="shared" ref="EH9:EH40" si="8">SUM(CD9:CF9)-SUM(CI9:CK9)</f>
        <v>13073.999999999993</v>
      </c>
      <c r="EI9" s="95">
        <f>EG9+EH9</f>
        <v>39351.229999999996</v>
      </c>
      <c r="EJ9" s="97">
        <v>39351.229999999996</v>
      </c>
      <c r="EK9" s="95">
        <f>EJ9-EI9</f>
        <v>0</v>
      </c>
    </row>
    <row r="10" spans="1:141" s="87" customFormat="1" x14ac:dyDescent="0.35">
      <c r="A10" s="87" t="str">
        <f>_xlfn.XLOOKUP(C10,[1]Adjustment!B:B,[1]Adjustment!H:H,0,0)</f>
        <v>Agree</v>
      </c>
      <c r="B10" s="87">
        <v>1008</v>
      </c>
      <c r="C10" s="88">
        <v>3301008</v>
      </c>
      <c r="D10" s="98" t="s">
        <v>136</v>
      </c>
      <c r="E10" s="89" t="s">
        <v>137</v>
      </c>
      <c r="F10" s="90"/>
      <c r="G10" s="99"/>
      <c r="H10" s="88"/>
      <c r="I10" s="88"/>
      <c r="J10" s="88"/>
      <c r="K10" s="88"/>
      <c r="L10" s="88"/>
      <c r="M10" s="88"/>
      <c r="N10" s="88"/>
      <c r="O10" s="88"/>
      <c r="P10" s="88"/>
      <c r="Q10" s="88"/>
      <c r="R10" s="88"/>
      <c r="S10" s="92"/>
      <c r="T10" s="92"/>
      <c r="U10" s="92"/>
      <c r="V10" s="92"/>
      <c r="W10" s="92"/>
      <c r="X10" s="92"/>
      <c r="Y10" s="93">
        <v>108142.38</v>
      </c>
      <c r="Z10" s="93"/>
      <c r="AA10" s="93">
        <v>8042.93</v>
      </c>
      <c r="AB10" s="93">
        <v>423675.15</v>
      </c>
      <c r="AC10" s="93">
        <v>0</v>
      </c>
      <c r="AD10" s="93">
        <v>1680</v>
      </c>
      <c r="AE10" s="93">
        <v>0</v>
      </c>
      <c r="AF10" s="93">
        <v>0</v>
      </c>
      <c r="AG10" s="93">
        <v>0</v>
      </c>
      <c r="AH10" s="93">
        <v>0</v>
      </c>
      <c r="AI10" s="93">
        <v>0</v>
      </c>
      <c r="AJ10" s="93">
        <v>23325.040000000001</v>
      </c>
      <c r="AK10" s="93">
        <v>0</v>
      </c>
      <c r="AL10" s="93">
        <v>0</v>
      </c>
      <c r="AM10" s="93">
        <v>0</v>
      </c>
      <c r="AN10" s="93">
        <v>195.1</v>
      </c>
      <c r="AO10" s="93">
        <v>0</v>
      </c>
      <c r="AP10" s="93">
        <v>0</v>
      </c>
      <c r="AQ10" s="93">
        <v>0</v>
      </c>
      <c r="AR10" s="93">
        <v>0</v>
      </c>
      <c r="AS10" s="93">
        <v>0</v>
      </c>
      <c r="AT10" s="93">
        <v>0</v>
      </c>
      <c r="AU10" s="93">
        <v>0</v>
      </c>
      <c r="AV10" s="93">
        <v>0</v>
      </c>
      <c r="AW10" s="93">
        <v>111172.95999999993</v>
      </c>
      <c r="AX10" s="93">
        <v>0</v>
      </c>
      <c r="AY10" s="93">
        <v>103111.24</v>
      </c>
      <c r="AZ10" s="93">
        <v>3476.2</v>
      </c>
      <c r="BA10" s="93">
        <v>26094.73</v>
      </c>
      <c r="BB10" s="93">
        <v>0</v>
      </c>
      <c r="BC10" s="93">
        <v>96967.91</v>
      </c>
      <c r="BD10" s="93">
        <v>0</v>
      </c>
      <c r="BE10" s="93">
        <v>760</v>
      </c>
      <c r="BF10" s="93">
        <v>0</v>
      </c>
      <c r="BG10" s="93">
        <v>0</v>
      </c>
      <c r="BH10" s="93">
        <v>43381.78</v>
      </c>
      <c r="BI10" s="93">
        <v>0</v>
      </c>
      <c r="BJ10" s="93">
        <v>0</v>
      </c>
      <c r="BK10" s="93">
        <v>653.38</v>
      </c>
      <c r="BL10" s="93">
        <v>19785.240000000002</v>
      </c>
      <c r="BM10" s="93">
        <v>0</v>
      </c>
      <c r="BN10" s="93">
        <v>0</v>
      </c>
      <c r="BO10" s="93">
        <v>18622.650000000016</v>
      </c>
      <c r="BP10" s="93">
        <v>0</v>
      </c>
      <c r="BQ10" s="93">
        <v>2844.29</v>
      </c>
      <c r="BR10" s="93">
        <v>12198.74</v>
      </c>
      <c r="BS10" s="93">
        <v>4895</v>
      </c>
      <c r="BT10" s="93">
        <v>0</v>
      </c>
      <c r="BU10" s="93">
        <v>0</v>
      </c>
      <c r="BV10" s="93">
        <v>17624.13</v>
      </c>
      <c r="BW10" s="93">
        <v>0</v>
      </c>
      <c r="BX10" s="93">
        <v>31918.89</v>
      </c>
      <c r="BY10" s="93">
        <v>0</v>
      </c>
      <c r="BZ10" s="93">
        <v>0</v>
      </c>
      <c r="CA10" s="93"/>
      <c r="CB10" s="93">
        <v>0</v>
      </c>
      <c r="CC10" s="93">
        <v>0</v>
      </c>
      <c r="CD10" s="93">
        <v>4695.07</v>
      </c>
      <c r="CE10" s="93">
        <v>0</v>
      </c>
      <c r="CF10" s="93">
        <v>0</v>
      </c>
      <c r="CG10" s="93">
        <v>0</v>
      </c>
      <c r="CH10" s="93">
        <v>0</v>
      </c>
      <c r="CI10" s="93">
        <v>0</v>
      </c>
      <c r="CJ10" s="93">
        <v>1019.9</v>
      </c>
      <c r="CK10" s="93"/>
      <c r="CL10" s="93">
        <v>63510.52999999997</v>
      </c>
      <c r="CM10" s="93"/>
      <c r="CN10" s="93">
        <v>11718.1</v>
      </c>
      <c r="CO10" s="93">
        <v>0</v>
      </c>
      <c r="CP10" s="93">
        <v>0</v>
      </c>
      <c r="CQ10" s="93">
        <v>0</v>
      </c>
      <c r="CR10" s="100"/>
      <c r="CS10" s="95">
        <v>50197.51999999996</v>
      </c>
      <c r="CT10" s="95">
        <v>0</v>
      </c>
      <c r="CU10" s="96">
        <v>59260.35</v>
      </c>
      <c r="CV10" s="96">
        <v>-9062.83</v>
      </c>
      <c r="CW10" s="96">
        <v>-9062.8300000000381</v>
      </c>
      <c r="CX10" s="95">
        <v>9062.83</v>
      </c>
      <c r="CY10" s="95">
        <v>50197.52</v>
      </c>
      <c r="CZ10" s="97">
        <v>0</v>
      </c>
      <c r="DA10" s="95">
        <v>37071.68</v>
      </c>
      <c r="DB10" s="95">
        <v>0</v>
      </c>
      <c r="DC10" s="95">
        <v>-1.9999999982246663E-2</v>
      </c>
      <c r="DD10" s="96">
        <v>-9062.83</v>
      </c>
      <c r="DF10" s="95">
        <v>-3.8198777474462986E-11</v>
      </c>
      <c r="DI10" s="95">
        <v>50197.51999999996</v>
      </c>
      <c r="DJ10" s="95">
        <v>0</v>
      </c>
      <c r="DK10" s="96">
        <v>59260.35</v>
      </c>
      <c r="DL10" s="96">
        <v>-9062.83</v>
      </c>
      <c r="DQ10" s="88">
        <v>3301008</v>
      </c>
      <c r="DT10" s="95">
        <f t="shared" si="2"/>
        <v>448875.29</v>
      </c>
      <c r="DU10" s="95">
        <f t="shared" si="3"/>
        <v>493507.13999999996</v>
      </c>
      <c r="DV10" s="95">
        <f t="shared" si="4"/>
        <v>-44631.849999999977</v>
      </c>
      <c r="DW10" s="95">
        <f t="shared" si="5"/>
        <v>4695.07</v>
      </c>
      <c r="DX10" s="95">
        <f t="shared" si="6"/>
        <v>1019.9</v>
      </c>
      <c r="DY10" s="95">
        <f t="shared" ref="DY10:DY73" si="9">DW10-DX10</f>
        <v>3675.1699999999996</v>
      </c>
      <c r="EA10" s="95">
        <f t="shared" ref="EA10:EA73" si="10">SUM(Y10:Z10)</f>
        <v>108142.38</v>
      </c>
      <c r="EB10" s="95">
        <f t="shared" ref="EB10:EB73" si="11">SUM(AB10:AV10)-SUM(AW10:CA10)</f>
        <v>-44631.849999999977</v>
      </c>
      <c r="EC10" s="95">
        <f t="shared" ref="EC10:EC73" si="12">EA10+EB10</f>
        <v>63510.530000000028</v>
      </c>
      <c r="ED10" s="95">
        <v>63510.53</v>
      </c>
      <c r="EE10" s="95">
        <f t="shared" si="7"/>
        <v>0</v>
      </c>
      <c r="EF10" s="95"/>
      <c r="EG10" s="95">
        <f t="shared" ref="EG10:EG73" si="13">AA10</f>
        <v>8042.93</v>
      </c>
      <c r="EH10" s="95">
        <f t="shared" si="8"/>
        <v>3675.1699999999996</v>
      </c>
      <c r="EI10" s="95">
        <f t="shared" ref="EI10:EI73" si="14">EG10+EH10</f>
        <v>11718.1</v>
      </c>
      <c r="EJ10" s="97">
        <v>11718.1</v>
      </c>
      <c r="EK10" s="95">
        <f t="shared" ref="EK10:EK73" si="15">EJ10-EI10</f>
        <v>0</v>
      </c>
    </row>
    <row r="11" spans="1:141" s="87" customFormat="1" x14ac:dyDescent="0.35">
      <c r="A11" s="87" t="str">
        <f>_xlfn.XLOOKUP(C11,[1]Adjustment!B:B,[1]Adjustment!H:H,0,0)</f>
        <v>Agree</v>
      </c>
      <c r="B11" s="87">
        <v>1012</v>
      </c>
      <c r="C11" s="88">
        <v>3301012</v>
      </c>
      <c r="D11" s="98" t="s">
        <v>138</v>
      </c>
      <c r="E11" s="89" t="s">
        <v>139</v>
      </c>
      <c r="F11" s="90"/>
      <c r="G11" s="99"/>
      <c r="H11" s="88"/>
      <c r="I11" s="88"/>
      <c r="J11" s="88"/>
      <c r="K11" s="88"/>
      <c r="L11" s="88"/>
      <c r="M11" s="88"/>
      <c r="N11" s="88"/>
      <c r="O11" s="88"/>
      <c r="P11" s="88"/>
      <c r="Q11" s="88"/>
      <c r="R11" s="88"/>
      <c r="S11" s="92"/>
      <c r="T11" s="92"/>
      <c r="U11" s="92"/>
      <c r="V11" s="92"/>
      <c r="W11" s="92"/>
      <c r="X11" s="92"/>
      <c r="Y11" s="93">
        <v>287466.69</v>
      </c>
      <c r="Z11" s="93"/>
      <c r="AA11" s="93">
        <v>35616.199999999997</v>
      </c>
      <c r="AB11" s="93">
        <v>613430.89</v>
      </c>
      <c r="AC11" s="93">
        <v>0</v>
      </c>
      <c r="AD11" s="93">
        <v>0</v>
      </c>
      <c r="AE11" s="93">
        <v>0</v>
      </c>
      <c r="AF11" s="93">
        <v>0</v>
      </c>
      <c r="AG11" s="93">
        <v>0</v>
      </c>
      <c r="AH11" s="93">
        <v>0</v>
      </c>
      <c r="AI11" s="93">
        <v>0</v>
      </c>
      <c r="AJ11" s="93">
        <v>34370.269999999997</v>
      </c>
      <c r="AK11" s="93">
        <v>0</v>
      </c>
      <c r="AL11" s="93">
        <v>0</v>
      </c>
      <c r="AM11" s="93">
        <v>0</v>
      </c>
      <c r="AN11" s="93">
        <v>2660</v>
      </c>
      <c r="AO11" s="93">
        <v>1764.02</v>
      </c>
      <c r="AP11" s="93">
        <v>0</v>
      </c>
      <c r="AQ11" s="93">
        <v>0</v>
      </c>
      <c r="AR11" s="93">
        <v>0</v>
      </c>
      <c r="AS11" s="93">
        <v>0</v>
      </c>
      <c r="AT11" s="93">
        <v>0</v>
      </c>
      <c r="AU11" s="93">
        <v>0</v>
      </c>
      <c r="AV11" s="93">
        <v>0</v>
      </c>
      <c r="AW11" s="93">
        <v>373667.32</v>
      </c>
      <c r="AX11" s="93">
        <v>0</v>
      </c>
      <c r="AY11" s="93">
        <v>137974.98000000001</v>
      </c>
      <c r="AZ11" s="93">
        <v>819.09</v>
      </c>
      <c r="BA11" s="93">
        <v>22443.09</v>
      </c>
      <c r="BB11" s="93">
        <v>0</v>
      </c>
      <c r="BC11" s="93">
        <v>0</v>
      </c>
      <c r="BD11" s="93">
        <v>0</v>
      </c>
      <c r="BE11" s="93">
        <v>1257.83</v>
      </c>
      <c r="BF11" s="93">
        <v>0</v>
      </c>
      <c r="BG11" s="93">
        <v>0</v>
      </c>
      <c r="BH11" s="93">
        <v>20314.259999999998</v>
      </c>
      <c r="BI11" s="93">
        <v>423.47</v>
      </c>
      <c r="BJ11" s="93">
        <v>600</v>
      </c>
      <c r="BK11" s="93">
        <v>1042.5999999999999</v>
      </c>
      <c r="BL11" s="93">
        <v>12717.94</v>
      </c>
      <c r="BM11" s="93">
        <v>0</v>
      </c>
      <c r="BN11" s="93">
        <v>699.44</v>
      </c>
      <c r="BO11" s="93">
        <v>3465.7300000001651</v>
      </c>
      <c r="BP11" s="93">
        <v>0</v>
      </c>
      <c r="BQ11" s="93">
        <v>0</v>
      </c>
      <c r="BR11" s="93">
        <v>566.87</v>
      </c>
      <c r="BS11" s="93">
        <v>4895</v>
      </c>
      <c r="BT11" s="93">
        <v>0</v>
      </c>
      <c r="BU11" s="93">
        <v>1651.01</v>
      </c>
      <c r="BV11" s="93">
        <v>0</v>
      </c>
      <c r="BW11" s="93">
        <v>980</v>
      </c>
      <c r="BX11" s="93">
        <v>18151.240000000002</v>
      </c>
      <c r="BY11" s="93">
        <v>0</v>
      </c>
      <c r="BZ11" s="93">
        <v>0</v>
      </c>
      <c r="CA11" s="93"/>
      <c r="CB11" s="93">
        <v>0</v>
      </c>
      <c r="CC11" s="93">
        <v>0</v>
      </c>
      <c r="CD11" s="93">
        <v>4897.75</v>
      </c>
      <c r="CE11" s="93">
        <v>0</v>
      </c>
      <c r="CF11" s="93">
        <v>0</v>
      </c>
      <c r="CG11" s="93">
        <v>0</v>
      </c>
      <c r="CH11" s="93">
        <v>0</v>
      </c>
      <c r="CI11" s="93">
        <v>0</v>
      </c>
      <c r="CJ11" s="93">
        <v>0</v>
      </c>
      <c r="CK11" s="93"/>
      <c r="CL11" s="93">
        <v>338022</v>
      </c>
      <c r="CM11" s="93"/>
      <c r="CN11" s="93">
        <v>40513.949999999997</v>
      </c>
      <c r="CO11" s="93">
        <v>0</v>
      </c>
      <c r="CP11" s="93">
        <v>0</v>
      </c>
      <c r="CQ11" s="93">
        <v>0</v>
      </c>
      <c r="CR11" s="100"/>
      <c r="CS11" s="95">
        <v>316267.65999999997</v>
      </c>
      <c r="CT11" s="95">
        <v>0</v>
      </c>
      <c r="CU11" s="96">
        <v>340403.86</v>
      </c>
      <c r="CV11" s="96">
        <v>-24136.2</v>
      </c>
      <c r="CW11" s="96">
        <v>-24136.200000000012</v>
      </c>
      <c r="CX11" s="95">
        <v>24136.2</v>
      </c>
      <c r="CY11" s="95">
        <v>316267.65999999997</v>
      </c>
      <c r="CZ11" s="97">
        <v>0</v>
      </c>
      <c r="DA11" s="95">
        <v>54869.79</v>
      </c>
      <c r="DB11" s="95">
        <v>0</v>
      </c>
      <c r="DC11" s="95">
        <v>-4140.0099999998347</v>
      </c>
      <c r="DD11" s="96">
        <v>-24136.2</v>
      </c>
      <c r="DF11" s="95">
        <v>0</v>
      </c>
      <c r="DI11" s="95">
        <v>316267.65999999997</v>
      </c>
      <c r="DJ11" s="95">
        <v>0</v>
      </c>
      <c r="DK11" s="96">
        <v>340403.86</v>
      </c>
      <c r="DL11" s="96">
        <v>-24136.2</v>
      </c>
      <c r="DQ11" s="88">
        <v>3301012</v>
      </c>
      <c r="DT11" s="95">
        <f t="shared" si="2"/>
        <v>652225.18000000005</v>
      </c>
      <c r="DU11" s="95">
        <f t="shared" si="3"/>
        <v>601669.87000000011</v>
      </c>
      <c r="DV11" s="95">
        <f t="shared" si="4"/>
        <v>50555.309999999939</v>
      </c>
      <c r="DW11" s="95">
        <f t="shared" si="5"/>
        <v>4897.75</v>
      </c>
      <c r="DX11" s="95">
        <f t="shared" si="6"/>
        <v>0</v>
      </c>
      <c r="DY11" s="95">
        <f t="shared" si="9"/>
        <v>4897.75</v>
      </c>
      <c r="EA11" s="95">
        <f t="shared" si="10"/>
        <v>287466.69</v>
      </c>
      <c r="EB11" s="95">
        <f t="shared" si="11"/>
        <v>50555.309999999939</v>
      </c>
      <c r="EC11" s="95">
        <f t="shared" si="12"/>
        <v>338021.99999999994</v>
      </c>
      <c r="ED11" s="95">
        <v>338021.99999999994</v>
      </c>
      <c r="EE11" s="95">
        <f t="shared" si="7"/>
        <v>0</v>
      </c>
      <c r="EF11" s="95"/>
      <c r="EG11" s="95">
        <f t="shared" si="13"/>
        <v>35616.199999999997</v>
      </c>
      <c r="EH11" s="95">
        <f t="shared" si="8"/>
        <v>4897.75</v>
      </c>
      <c r="EI11" s="95">
        <f t="shared" si="14"/>
        <v>40513.949999999997</v>
      </c>
      <c r="EJ11" s="97">
        <v>40513.949999999997</v>
      </c>
      <c r="EK11" s="95">
        <f t="shared" si="15"/>
        <v>0</v>
      </c>
    </row>
    <row r="12" spans="1:141" s="87" customFormat="1" x14ac:dyDescent="0.35">
      <c r="A12" s="87" t="str">
        <f>_xlfn.XLOOKUP(C12,[1]Adjustment!B:B,[1]Adjustment!H:H,0,0)</f>
        <v>Agree</v>
      </c>
      <c r="B12" s="87">
        <v>1018</v>
      </c>
      <c r="C12" s="88">
        <v>3301018</v>
      </c>
      <c r="D12" s="98" t="s">
        <v>140</v>
      </c>
      <c r="E12" s="89" t="s">
        <v>141</v>
      </c>
      <c r="F12" s="101"/>
      <c r="G12" s="99"/>
      <c r="H12" s="88"/>
      <c r="I12" s="88"/>
      <c r="J12" s="88"/>
      <c r="K12" s="88"/>
      <c r="L12" s="88"/>
      <c r="M12" s="88"/>
      <c r="N12" s="88"/>
      <c r="O12" s="88"/>
      <c r="P12" s="88"/>
      <c r="Q12" s="88"/>
      <c r="R12" s="88"/>
      <c r="S12" s="92"/>
      <c r="T12" s="92"/>
      <c r="U12" s="92"/>
      <c r="V12" s="92"/>
      <c r="W12" s="92"/>
      <c r="X12" s="92"/>
      <c r="Y12" s="93"/>
      <c r="Z12" s="93">
        <v>-2240.29</v>
      </c>
      <c r="AA12" s="93">
        <v>10712.07</v>
      </c>
      <c r="AB12" s="93">
        <v>785670.48</v>
      </c>
      <c r="AC12" s="93">
        <v>0</v>
      </c>
      <c r="AD12" s="93">
        <v>0</v>
      </c>
      <c r="AE12" s="93">
        <v>0</v>
      </c>
      <c r="AF12" s="93">
        <v>0</v>
      </c>
      <c r="AG12" s="93">
        <v>0</v>
      </c>
      <c r="AH12" s="93">
        <v>0</v>
      </c>
      <c r="AI12" s="93">
        <v>0</v>
      </c>
      <c r="AJ12" s="93">
        <v>57558.28</v>
      </c>
      <c r="AK12" s="93">
        <v>0</v>
      </c>
      <c r="AL12" s="93">
        <v>0</v>
      </c>
      <c r="AM12" s="93">
        <v>0</v>
      </c>
      <c r="AN12" s="93">
        <v>17853</v>
      </c>
      <c r="AO12" s="93">
        <v>0</v>
      </c>
      <c r="AP12" s="93">
        <v>0</v>
      </c>
      <c r="AQ12" s="93">
        <v>0</v>
      </c>
      <c r="AR12" s="93">
        <v>0</v>
      </c>
      <c r="AS12" s="93">
        <v>0</v>
      </c>
      <c r="AT12" s="93">
        <v>0</v>
      </c>
      <c r="AU12" s="93">
        <v>0</v>
      </c>
      <c r="AV12" s="93">
        <v>0</v>
      </c>
      <c r="AW12" s="93">
        <v>146757.43000000008</v>
      </c>
      <c r="AX12" s="93">
        <v>0</v>
      </c>
      <c r="AY12" s="93">
        <v>328814.08000000002</v>
      </c>
      <c r="AZ12" s="93">
        <v>24302.14</v>
      </c>
      <c r="BA12" s="93">
        <v>34719.24</v>
      </c>
      <c r="BB12" s="93">
        <v>0</v>
      </c>
      <c r="BC12" s="93">
        <v>44505.26</v>
      </c>
      <c r="BD12" s="93">
        <v>38.299999999999997</v>
      </c>
      <c r="BE12" s="93">
        <v>4570.3</v>
      </c>
      <c r="BF12" s="93">
        <v>0</v>
      </c>
      <c r="BG12" s="93">
        <v>0</v>
      </c>
      <c r="BH12" s="93">
        <v>2235.38</v>
      </c>
      <c r="BI12" s="93">
        <v>453.2</v>
      </c>
      <c r="BJ12" s="93">
        <v>25674.23</v>
      </c>
      <c r="BK12" s="93">
        <v>0</v>
      </c>
      <c r="BL12" s="93">
        <v>26783.09</v>
      </c>
      <c r="BM12" s="93">
        <v>0</v>
      </c>
      <c r="BN12" s="93">
        <v>590.25</v>
      </c>
      <c r="BO12" s="93">
        <v>10529.039999999892</v>
      </c>
      <c r="BP12" s="93">
        <v>0</v>
      </c>
      <c r="BQ12" s="93">
        <v>0</v>
      </c>
      <c r="BR12" s="93">
        <v>13297.93</v>
      </c>
      <c r="BS12" s="93">
        <v>4895</v>
      </c>
      <c r="BT12" s="93">
        <v>0</v>
      </c>
      <c r="BU12" s="93">
        <v>8975.59</v>
      </c>
      <c r="BV12" s="93">
        <v>25388.6</v>
      </c>
      <c r="BW12" s="93">
        <v>0</v>
      </c>
      <c r="BX12" s="93">
        <v>122499.02</v>
      </c>
      <c r="BY12" s="93">
        <v>0</v>
      </c>
      <c r="BZ12" s="93">
        <v>0</v>
      </c>
      <c r="CA12" s="93"/>
      <c r="CB12" s="93">
        <v>0</v>
      </c>
      <c r="CC12" s="93">
        <v>0</v>
      </c>
      <c r="CD12" s="93">
        <v>5046.25</v>
      </c>
      <c r="CE12" s="93">
        <v>12022</v>
      </c>
      <c r="CF12" s="93">
        <v>0</v>
      </c>
      <c r="CG12" s="93">
        <v>0</v>
      </c>
      <c r="CH12" s="93">
        <v>0</v>
      </c>
      <c r="CI12" s="93">
        <v>0</v>
      </c>
      <c r="CJ12" s="93">
        <v>0</v>
      </c>
      <c r="CK12" s="93"/>
      <c r="CL12" s="93">
        <v>33813.389999999898</v>
      </c>
      <c r="CM12" s="93"/>
      <c r="CN12" s="93">
        <v>27780.32</v>
      </c>
      <c r="CO12" s="93">
        <v>0</v>
      </c>
      <c r="CP12" s="93">
        <v>0</v>
      </c>
      <c r="CQ12" s="93">
        <v>0</v>
      </c>
      <c r="CR12" s="100"/>
      <c r="CS12" s="95">
        <v>25219.600000000013</v>
      </c>
      <c r="CT12" s="95">
        <v>0</v>
      </c>
      <c r="CU12" s="96">
        <v>36243.22</v>
      </c>
      <c r="CV12" s="96">
        <v>-11023.62</v>
      </c>
      <c r="CW12" s="96">
        <v>-11023.619999999988</v>
      </c>
      <c r="CX12" s="95">
        <v>-11023.62</v>
      </c>
      <c r="CY12" s="95">
        <v>25219.599999999999</v>
      </c>
      <c r="CZ12" s="97">
        <v>0</v>
      </c>
      <c r="DA12" s="95">
        <v>0</v>
      </c>
      <c r="DB12" s="95">
        <v>0</v>
      </c>
      <c r="DC12" s="95">
        <v>-1.0913936421275139E-10</v>
      </c>
      <c r="DD12" s="96">
        <v>-11023.62</v>
      </c>
      <c r="DF12" s="95">
        <v>0</v>
      </c>
      <c r="DI12" s="95">
        <v>25219.600000000013</v>
      </c>
      <c r="DJ12" s="95">
        <v>0</v>
      </c>
      <c r="DK12" s="96">
        <v>36243.22</v>
      </c>
      <c r="DL12" s="96">
        <v>-11023.62</v>
      </c>
      <c r="DQ12" s="88">
        <v>3301018</v>
      </c>
      <c r="DT12" s="95">
        <f t="shared" si="2"/>
        <v>861081.76</v>
      </c>
      <c r="DU12" s="95">
        <f t="shared" si="3"/>
        <v>825028.08000000007</v>
      </c>
      <c r="DV12" s="95">
        <f t="shared" si="4"/>
        <v>36053.679999999935</v>
      </c>
      <c r="DW12" s="95">
        <f t="shared" si="5"/>
        <v>17068.25</v>
      </c>
      <c r="DX12" s="95">
        <f t="shared" si="6"/>
        <v>0</v>
      </c>
      <c r="DY12" s="95">
        <f t="shared" si="9"/>
        <v>17068.25</v>
      </c>
      <c r="EA12" s="95">
        <f t="shared" si="10"/>
        <v>-2240.29</v>
      </c>
      <c r="EB12" s="95">
        <f t="shared" si="11"/>
        <v>36053.679999999935</v>
      </c>
      <c r="EC12" s="95">
        <f t="shared" si="12"/>
        <v>33813.389999999934</v>
      </c>
      <c r="ED12" s="95">
        <v>33813.389999999934</v>
      </c>
      <c r="EE12" s="95">
        <f t="shared" si="7"/>
        <v>0</v>
      </c>
      <c r="EF12" s="95"/>
      <c r="EG12" s="95">
        <f t="shared" si="13"/>
        <v>10712.07</v>
      </c>
      <c r="EH12" s="95">
        <f t="shared" si="8"/>
        <v>17068.25</v>
      </c>
      <c r="EI12" s="95">
        <f t="shared" si="14"/>
        <v>27780.32</v>
      </c>
      <c r="EJ12" s="97">
        <v>27780.32</v>
      </c>
      <c r="EK12" s="95">
        <f t="shared" si="15"/>
        <v>0</v>
      </c>
    </row>
    <row r="13" spans="1:141" s="87" customFormat="1" x14ac:dyDescent="0.35">
      <c r="A13" s="87" t="str">
        <f>_xlfn.XLOOKUP(C13,[1]Adjustment!B:B,[1]Adjustment!H:H,0,0)</f>
        <v>Agree</v>
      </c>
      <c r="B13" s="87">
        <v>1022</v>
      </c>
      <c r="C13" s="88">
        <v>3301022</v>
      </c>
      <c r="D13" s="98" t="s">
        <v>142</v>
      </c>
      <c r="E13" s="89" t="s">
        <v>143</v>
      </c>
      <c r="F13" s="101"/>
      <c r="G13" s="99"/>
      <c r="H13" s="88"/>
      <c r="I13" s="88"/>
      <c r="J13" s="88"/>
      <c r="K13" s="88"/>
      <c r="L13" s="88"/>
      <c r="M13" s="88"/>
      <c r="N13" s="88"/>
      <c r="O13" s="88"/>
      <c r="P13" s="88"/>
      <c r="Q13" s="88"/>
      <c r="R13" s="88"/>
      <c r="S13" s="92"/>
      <c r="T13" s="92"/>
      <c r="U13" s="92"/>
      <c r="V13" s="92"/>
      <c r="W13" s="92"/>
      <c r="X13" s="92"/>
      <c r="Y13" s="93">
        <v>147079.49</v>
      </c>
      <c r="Z13" s="93"/>
      <c r="AA13" s="93">
        <v>22840.09</v>
      </c>
      <c r="AB13" s="93">
        <v>480043.8</v>
      </c>
      <c r="AC13" s="93">
        <v>0</v>
      </c>
      <c r="AD13" s="93">
        <v>19351.25</v>
      </c>
      <c r="AE13" s="93">
        <v>0</v>
      </c>
      <c r="AF13" s="93">
        <v>0</v>
      </c>
      <c r="AG13" s="93">
        <v>0</v>
      </c>
      <c r="AH13" s="93">
        <v>0</v>
      </c>
      <c r="AI13" s="93">
        <v>0</v>
      </c>
      <c r="AJ13" s="93">
        <v>62602.29</v>
      </c>
      <c r="AK13" s="93">
        <v>0</v>
      </c>
      <c r="AL13" s="93">
        <v>0</v>
      </c>
      <c r="AM13" s="93">
        <v>0</v>
      </c>
      <c r="AN13" s="93">
        <v>5478.5</v>
      </c>
      <c r="AO13" s="93">
        <v>0</v>
      </c>
      <c r="AP13" s="93">
        <v>0</v>
      </c>
      <c r="AQ13" s="93">
        <v>0</v>
      </c>
      <c r="AR13" s="93">
        <v>0</v>
      </c>
      <c r="AS13" s="93">
        <v>0</v>
      </c>
      <c r="AT13" s="93">
        <v>0</v>
      </c>
      <c r="AU13" s="93">
        <v>0</v>
      </c>
      <c r="AV13" s="93">
        <v>0</v>
      </c>
      <c r="AW13" s="93">
        <v>231918.69999999987</v>
      </c>
      <c r="AX13" s="93">
        <v>0</v>
      </c>
      <c r="AY13" s="93">
        <v>127931.79000000001</v>
      </c>
      <c r="AZ13" s="93">
        <v>0</v>
      </c>
      <c r="BA13" s="93">
        <v>5204</v>
      </c>
      <c r="BB13" s="93">
        <v>0</v>
      </c>
      <c r="BC13" s="93">
        <v>1057.06</v>
      </c>
      <c r="BD13" s="93">
        <v>1660.75</v>
      </c>
      <c r="BE13" s="93">
        <v>835</v>
      </c>
      <c r="BF13" s="93">
        <v>0</v>
      </c>
      <c r="BG13" s="93">
        <v>0</v>
      </c>
      <c r="BH13" s="93">
        <v>9273.9599999999991</v>
      </c>
      <c r="BI13" s="93">
        <v>537.9</v>
      </c>
      <c r="BJ13" s="93">
        <v>11480.77</v>
      </c>
      <c r="BK13" s="93">
        <v>689.14</v>
      </c>
      <c r="BL13" s="93">
        <v>12946.06</v>
      </c>
      <c r="BM13" s="93">
        <v>0</v>
      </c>
      <c r="BN13" s="93">
        <v>4767.9799999999996</v>
      </c>
      <c r="BO13" s="93">
        <v>3641.8</v>
      </c>
      <c r="BP13" s="93">
        <v>0</v>
      </c>
      <c r="BQ13" s="93">
        <v>0</v>
      </c>
      <c r="BR13" s="93">
        <v>5192.9399999999996</v>
      </c>
      <c r="BS13" s="93">
        <v>3135</v>
      </c>
      <c r="BT13" s="93">
        <v>0</v>
      </c>
      <c r="BU13" s="93">
        <v>1036.57</v>
      </c>
      <c r="BV13" s="93">
        <v>39951.660000000003</v>
      </c>
      <c r="BW13" s="93">
        <v>0</v>
      </c>
      <c r="BX13" s="93">
        <v>19609.509999999998</v>
      </c>
      <c r="BY13" s="93">
        <v>0</v>
      </c>
      <c r="BZ13" s="93">
        <v>0</v>
      </c>
      <c r="CA13" s="93"/>
      <c r="CB13" s="93">
        <v>0</v>
      </c>
      <c r="CC13" s="93">
        <v>0</v>
      </c>
      <c r="CD13" s="93">
        <v>4607.5</v>
      </c>
      <c r="CE13" s="93">
        <v>11203</v>
      </c>
      <c r="CF13" s="93">
        <v>0</v>
      </c>
      <c r="CG13" s="93">
        <v>0</v>
      </c>
      <c r="CH13" s="93">
        <v>0</v>
      </c>
      <c r="CI13" s="93">
        <v>0</v>
      </c>
      <c r="CJ13" s="93">
        <v>31353</v>
      </c>
      <c r="CK13" s="93"/>
      <c r="CL13" s="93">
        <v>233684.74</v>
      </c>
      <c r="CM13" s="93"/>
      <c r="CN13" s="93">
        <v>7297.5899999999965</v>
      </c>
      <c r="CO13" s="93">
        <v>0</v>
      </c>
      <c r="CP13" s="93">
        <v>0</v>
      </c>
      <c r="CQ13" s="93">
        <v>0</v>
      </c>
      <c r="CR13" s="100"/>
      <c r="CS13" s="95">
        <v>202386.12999999989</v>
      </c>
      <c r="CT13" s="95">
        <v>0</v>
      </c>
      <c r="CU13" s="96">
        <v>256579.22</v>
      </c>
      <c r="CV13" s="96">
        <v>-54193.09</v>
      </c>
      <c r="CW13" s="96">
        <v>-54193.090000000113</v>
      </c>
      <c r="CX13" s="95">
        <v>-54193.09</v>
      </c>
      <c r="CY13" s="95">
        <v>202386.13</v>
      </c>
      <c r="CZ13" s="97">
        <v>0</v>
      </c>
      <c r="DA13" s="95">
        <v>0</v>
      </c>
      <c r="DB13" s="95">
        <v>0</v>
      </c>
      <c r="DC13" s="95">
        <v>-14798.710000000108</v>
      </c>
      <c r="DD13" s="96">
        <v>-54193.09</v>
      </c>
      <c r="DF13" s="95">
        <v>-1.1641532182693481E-10</v>
      </c>
      <c r="DI13" s="95">
        <v>202386.12999999989</v>
      </c>
      <c r="DJ13" s="95">
        <v>0</v>
      </c>
      <c r="DK13" s="96">
        <v>256579.22</v>
      </c>
      <c r="DL13" s="96">
        <v>-54193.09</v>
      </c>
      <c r="DQ13" s="88">
        <v>3301022</v>
      </c>
      <c r="DT13" s="95">
        <f t="shared" si="2"/>
        <v>567475.84</v>
      </c>
      <c r="DU13" s="95">
        <f t="shared" si="3"/>
        <v>480870.58999999997</v>
      </c>
      <c r="DV13" s="95">
        <f t="shared" si="4"/>
        <v>86605.25</v>
      </c>
      <c r="DW13" s="95">
        <f t="shared" si="5"/>
        <v>15810.5</v>
      </c>
      <c r="DX13" s="95">
        <f t="shared" si="6"/>
        <v>31353</v>
      </c>
      <c r="DY13" s="95">
        <f t="shared" si="9"/>
        <v>-15542.5</v>
      </c>
      <c r="EA13" s="95">
        <f t="shared" si="10"/>
        <v>147079.49</v>
      </c>
      <c r="EB13" s="95">
        <f t="shared" si="11"/>
        <v>86605.25</v>
      </c>
      <c r="EC13" s="95">
        <f t="shared" si="12"/>
        <v>233684.74</v>
      </c>
      <c r="ED13" s="95">
        <v>233684.74</v>
      </c>
      <c r="EE13" s="95">
        <f t="shared" si="7"/>
        <v>0</v>
      </c>
      <c r="EF13" s="95"/>
      <c r="EG13" s="95">
        <f t="shared" si="13"/>
        <v>22840.09</v>
      </c>
      <c r="EH13" s="95">
        <f t="shared" si="8"/>
        <v>-15542.5</v>
      </c>
      <c r="EI13" s="95">
        <f t="shared" si="14"/>
        <v>7297.59</v>
      </c>
      <c r="EJ13" s="97">
        <v>7297.59</v>
      </c>
      <c r="EK13" s="95">
        <f t="shared" si="15"/>
        <v>0</v>
      </c>
    </row>
    <row r="14" spans="1:141" s="87" customFormat="1" x14ac:dyDescent="0.35">
      <c r="A14" s="87" t="str">
        <f>_xlfn.XLOOKUP(C14,[1]Adjustment!B:B,[1]Adjustment!H:H,0,0)</f>
        <v>Agree</v>
      </c>
      <c r="B14" s="87">
        <v>1023</v>
      </c>
      <c r="C14" s="88">
        <v>3301023</v>
      </c>
      <c r="D14" s="98" t="s">
        <v>144</v>
      </c>
      <c r="E14" s="89" t="s">
        <v>145</v>
      </c>
      <c r="F14" s="101"/>
      <c r="G14" s="99"/>
      <c r="H14" s="88"/>
      <c r="I14" s="88"/>
      <c r="J14" s="88"/>
      <c r="K14" s="88"/>
      <c r="L14" s="88"/>
      <c r="M14" s="88"/>
      <c r="N14" s="88"/>
      <c r="O14" s="88"/>
      <c r="P14" s="88"/>
      <c r="Q14" s="88"/>
      <c r="R14" s="88"/>
      <c r="S14" s="92"/>
      <c r="T14" s="92"/>
      <c r="U14" s="92"/>
      <c r="V14" s="92"/>
      <c r="W14" s="92"/>
      <c r="X14" s="92"/>
      <c r="Y14" s="93"/>
      <c r="Z14" s="93">
        <v>-51748</v>
      </c>
      <c r="AA14" s="93">
        <v>19796.79</v>
      </c>
      <c r="AB14" s="93">
        <v>410766.96</v>
      </c>
      <c r="AC14" s="93">
        <v>0</v>
      </c>
      <c r="AD14" s="93">
        <v>12400</v>
      </c>
      <c r="AE14" s="93">
        <v>0</v>
      </c>
      <c r="AF14" s="93">
        <v>0</v>
      </c>
      <c r="AG14" s="93">
        <v>281308.57</v>
      </c>
      <c r="AH14" s="93">
        <v>0</v>
      </c>
      <c r="AI14" s="93">
        <v>0</v>
      </c>
      <c r="AJ14" s="93">
        <v>0</v>
      </c>
      <c r="AK14" s="93">
        <v>0</v>
      </c>
      <c r="AL14" s="93">
        <v>0</v>
      </c>
      <c r="AM14" s="93">
        <v>0</v>
      </c>
      <c r="AN14" s="93">
        <v>9816.4</v>
      </c>
      <c r="AO14" s="93">
        <v>0</v>
      </c>
      <c r="AP14" s="93">
        <v>0</v>
      </c>
      <c r="AQ14" s="93">
        <v>0</v>
      </c>
      <c r="AR14" s="93">
        <v>0</v>
      </c>
      <c r="AS14" s="93">
        <v>0</v>
      </c>
      <c r="AT14" s="93">
        <v>0</v>
      </c>
      <c r="AU14" s="93">
        <v>0</v>
      </c>
      <c r="AV14" s="93">
        <v>0</v>
      </c>
      <c r="AW14" s="93">
        <v>408018.5900000002</v>
      </c>
      <c r="AX14" s="93">
        <v>0</v>
      </c>
      <c r="AY14" s="93">
        <v>0</v>
      </c>
      <c r="AZ14" s="93">
        <v>0</v>
      </c>
      <c r="BA14" s="93">
        <v>0</v>
      </c>
      <c r="BB14" s="93">
        <v>0</v>
      </c>
      <c r="BC14" s="93">
        <v>0</v>
      </c>
      <c r="BD14" s="93">
        <v>181.5</v>
      </c>
      <c r="BE14" s="93">
        <v>685</v>
      </c>
      <c r="BF14" s="93">
        <v>0</v>
      </c>
      <c r="BG14" s="93">
        <v>0</v>
      </c>
      <c r="BH14" s="93">
        <v>3752.87</v>
      </c>
      <c r="BI14" s="93">
        <v>912.31</v>
      </c>
      <c r="BJ14" s="93">
        <v>0</v>
      </c>
      <c r="BK14" s="93">
        <v>3873.49</v>
      </c>
      <c r="BL14" s="93">
        <v>9298.6200000000008</v>
      </c>
      <c r="BM14" s="93">
        <v>0</v>
      </c>
      <c r="BN14" s="93">
        <v>6907.68</v>
      </c>
      <c r="BO14" s="93">
        <v>4144.91</v>
      </c>
      <c r="BP14" s="93">
        <v>0</v>
      </c>
      <c r="BQ14" s="93">
        <v>0</v>
      </c>
      <c r="BR14" s="93">
        <v>3200.57</v>
      </c>
      <c r="BS14" s="93">
        <v>4895</v>
      </c>
      <c r="BT14" s="93">
        <v>0</v>
      </c>
      <c r="BU14" s="93">
        <v>1601.06</v>
      </c>
      <c r="BV14" s="93">
        <v>0</v>
      </c>
      <c r="BW14" s="93">
        <v>0</v>
      </c>
      <c r="BX14" s="93">
        <v>28057.360000000001</v>
      </c>
      <c r="BY14" s="93">
        <v>0</v>
      </c>
      <c r="BZ14" s="93">
        <v>0</v>
      </c>
      <c r="CA14" s="93"/>
      <c r="CB14" s="93">
        <v>0</v>
      </c>
      <c r="CC14" s="93">
        <v>0</v>
      </c>
      <c r="CD14" s="93">
        <v>4873</v>
      </c>
      <c r="CE14" s="93">
        <v>0</v>
      </c>
      <c r="CF14" s="93">
        <v>0</v>
      </c>
      <c r="CG14" s="93">
        <v>0</v>
      </c>
      <c r="CH14" s="93">
        <v>0</v>
      </c>
      <c r="CI14" s="93">
        <v>0</v>
      </c>
      <c r="CJ14" s="93">
        <v>0</v>
      </c>
      <c r="CK14" s="93"/>
      <c r="CL14" s="93">
        <v>187014.96999999991</v>
      </c>
      <c r="CM14" s="93"/>
      <c r="CN14" s="93">
        <v>24669.79</v>
      </c>
      <c r="CO14" s="93">
        <v>0</v>
      </c>
      <c r="CP14" s="93">
        <v>0</v>
      </c>
      <c r="CQ14" s="93">
        <v>0</v>
      </c>
      <c r="CR14" s="100"/>
      <c r="CS14" s="95">
        <v>507584.1100000001</v>
      </c>
      <c r="CT14" s="95">
        <v>0</v>
      </c>
      <c r="CU14" s="96">
        <v>516796.56</v>
      </c>
      <c r="CV14" s="96">
        <v>-9212.4500000000007</v>
      </c>
      <c r="CW14" s="96">
        <v>-9212.4499999998952</v>
      </c>
      <c r="CX14" s="95">
        <v>-9212.4500000000007</v>
      </c>
      <c r="CY14" s="95">
        <v>507584.11</v>
      </c>
      <c r="CZ14" s="97">
        <v>0</v>
      </c>
      <c r="DA14" s="95">
        <v>0</v>
      </c>
      <c r="DB14" s="95">
        <v>0</v>
      </c>
      <c r="DC14" s="95">
        <v>-385848.1999999999</v>
      </c>
      <c r="DD14" s="96">
        <v>-9212.4500000000007</v>
      </c>
      <c r="DF14" s="95">
        <v>1.0550138540565968E-10</v>
      </c>
      <c r="DI14" s="95">
        <v>507584.1100000001</v>
      </c>
      <c r="DJ14" s="95">
        <v>0</v>
      </c>
      <c r="DK14" s="96">
        <v>516796.56</v>
      </c>
      <c r="DL14" s="96">
        <v>-9212.4500000000007</v>
      </c>
      <c r="DQ14" s="88">
        <v>3301023</v>
      </c>
      <c r="DT14" s="95">
        <f t="shared" si="2"/>
        <v>714291.93</v>
      </c>
      <c r="DU14" s="95">
        <f t="shared" si="3"/>
        <v>475528.96000000014</v>
      </c>
      <c r="DV14" s="95">
        <f t="shared" si="4"/>
        <v>238762.96999999991</v>
      </c>
      <c r="DW14" s="95">
        <f t="shared" si="5"/>
        <v>4873</v>
      </c>
      <c r="DX14" s="95">
        <f t="shared" si="6"/>
        <v>0</v>
      </c>
      <c r="DY14" s="95">
        <f t="shared" si="9"/>
        <v>4873</v>
      </c>
      <c r="EA14" s="95">
        <f t="shared" si="10"/>
        <v>-51748</v>
      </c>
      <c r="EB14" s="95">
        <f t="shared" si="11"/>
        <v>238762.96999999991</v>
      </c>
      <c r="EC14" s="95">
        <f t="shared" si="12"/>
        <v>187014.96999999991</v>
      </c>
      <c r="ED14" s="95">
        <v>187014.96999999991</v>
      </c>
      <c r="EE14" s="95">
        <f t="shared" si="7"/>
        <v>0</v>
      </c>
      <c r="EF14" s="95"/>
      <c r="EG14" s="95">
        <f t="shared" si="13"/>
        <v>19796.79</v>
      </c>
      <c r="EH14" s="95">
        <f t="shared" si="8"/>
        <v>4873</v>
      </c>
      <c r="EI14" s="95">
        <f t="shared" si="14"/>
        <v>24669.79</v>
      </c>
      <c r="EJ14" s="97">
        <v>24669.79</v>
      </c>
      <c r="EK14" s="95">
        <f t="shared" si="15"/>
        <v>0</v>
      </c>
    </row>
    <row r="15" spans="1:141" s="102" customFormat="1" x14ac:dyDescent="0.35">
      <c r="A15" s="102" t="str">
        <f>_xlfn.XLOOKUP(C15,[1]Adjustment!B:B,[1]Adjustment!H:H,0,0)</f>
        <v>Agree</v>
      </c>
      <c r="B15" s="87">
        <v>1026</v>
      </c>
      <c r="C15" s="103">
        <v>3301026</v>
      </c>
      <c r="D15" s="104" t="s">
        <v>146</v>
      </c>
      <c r="E15" s="105" t="s">
        <v>147</v>
      </c>
      <c r="F15" s="106"/>
      <c r="G15" s="107"/>
      <c r="H15" s="103"/>
      <c r="I15" s="103"/>
      <c r="J15" s="103"/>
      <c r="K15" s="103"/>
      <c r="L15" s="103"/>
      <c r="M15" s="103"/>
      <c r="N15" s="103"/>
      <c r="O15" s="103"/>
      <c r="P15" s="103"/>
      <c r="Q15" s="103"/>
      <c r="R15" s="103"/>
      <c r="S15" s="108"/>
      <c r="T15" s="108"/>
      <c r="U15" s="108"/>
      <c r="V15" s="108"/>
      <c r="W15" s="108"/>
      <c r="X15" s="108"/>
      <c r="Y15" s="109">
        <v>279123.06</v>
      </c>
      <c r="Z15" s="109"/>
      <c r="AA15" s="109">
        <v>-11877.77</v>
      </c>
      <c r="AB15" s="109">
        <v>607613.34</v>
      </c>
      <c r="AC15" s="109">
        <v>0</v>
      </c>
      <c r="AD15" s="109">
        <v>25395.42</v>
      </c>
      <c r="AE15" s="109">
        <v>0</v>
      </c>
      <c r="AF15" s="109">
        <v>0</v>
      </c>
      <c r="AG15" s="109">
        <v>0</v>
      </c>
      <c r="AH15" s="109">
        <v>0</v>
      </c>
      <c r="AI15" s="109">
        <v>0</v>
      </c>
      <c r="AJ15" s="109">
        <v>54264.589999999982</v>
      </c>
      <c r="AK15" s="109">
        <v>0</v>
      </c>
      <c r="AL15" s="109">
        <v>0</v>
      </c>
      <c r="AM15" s="109">
        <v>0</v>
      </c>
      <c r="AN15" s="109">
        <v>13171.88</v>
      </c>
      <c r="AO15" s="109">
        <v>0</v>
      </c>
      <c r="AP15" s="109">
        <v>0</v>
      </c>
      <c r="AQ15" s="109">
        <v>0</v>
      </c>
      <c r="AR15" s="109">
        <v>0</v>
      </c>
      <c r="AS15" s="109">
        <v>0</v>
      </c>
      <c r="AT15" s="109">
        <v>0</v>
      </c>
      <c r="AU15" s="109">
        <v>0</v>
      </c>
      <c r="AV15" s="109">
        <v>0</v>
      </c>
      <c r="AW15" s="109">
        <v>169343.4199999999</v>
      </c>
      <c r="AX15" s="109">
        <v>0</v>
      </c>
      <c r="AY15" s="109">
        <v>215452.43</v>
      </c>
      <c r="AZ15" s="109">
        <v>24357.06</v>
      </c>
      <c r="BA15" s="109">
        <v>51897.83</v>
      </c>
      <c r="BB15" s="109">
        <v>0</v>
      </c>
      <c r="BC15" s="109">
        <v>10520.48</v>
      </c>
      <c r="BD15" s="109">
        <v>0</v>
      </c>
      <c r="BE15" s="109">
        <v>13154.4</v>
      </c>
      <c r="BF15" s="109">
        <v>0</v>
      </c>
      <c r="BG15" s="109">
        <v>0</v>
      </c>
      <c r="BH15" s="109">
        <v>11666.49</v>
      </c>
      <c r="BI15" s="109">
        <v>1044.46</v>
      </c>
      <c r="BJ15" s="109">
        <v>6210.86</v>
      </c>
      <c r="BK15" s="109">
        <v>3653.48</v>
      </c>
      <c r="BL15" s="109">
        <v>22684.66</v>
      </c>
      <c r="BM15" s="109">
        <v>0</v>
      </c>
      <c r="BN15" s="109">
        <v>1702.67</v>
      </c>
      <c r="BO15" s="109">
        <v>42186.53</v>
      </c>
      <c r="BP15" s="109">
        <v>5640</v>
      </c>
      <c r="BQ15" s="109">
        <v>0</v>
      </c>
      <c r="BR15" s="109">
        <v>3961.41</v>
      </c>
      <c r="BS15" s="109">
        <v>3135</v>
      </c>
      <c r="BT15" s="109">
        <v>0</v>
      </c>
      <c r="BU15" s="109">
        <v>8501.9699999999993</v>
      </c>
      <c r="BV15" s="109">
        <v>3299.98</v>
      </c>
      <c r="BW15" s="109">
        <v>0</v>
      </c>
      <c r="BX15" s="109">
        <v>161383.41</v>
      </c>
      <c r="BY15" s="109">
        <v>0</v>
      </c>
      <c r="BZ15" s="109">
        <v>0</v>
      </c>
      <c r="CA15" s="109">
        <v>18242.77</v>
      </c>
      <c r="CB15" s="109">
        <v>0</v>
      </c>
      <c r="CC15" s="109">
        <v>0</v>
      </c>
      <c r="CD15" s="109">
        <v>4708.75</v>
      </c>
      <c r="CE15" s="109">
        <v>0</v>
      </c>
      <c r="CF15" s="109">
        <v>18242.77</v>
      </c>
      <c r="CG15" s="109">
        <v>0</v>
      </c>
      <c r="CH15" s="109">
        <v>0</v>
      </c>
      <c r="CI15" s="109">
        <v>4708.75</v>
      </c>
      <c r="CJ15" s="109">
        <v>6365</v>
      </c>
      <c r="CK15" s="109"/>
      <c r="CL15" s="109">
        <v>201528.9800000001</v>
      </c>
      <c r="CM15" s="109"/>
      <c r="CN15" s="93">
        <v>0</v>
      </c>
      <c r="CO15" s="109">
        <v>0</v>
      </c>
      <c r="CP15" s="109">
        <v>0</v>
      </c>
      <c r="CQ15" s="109">
        <v>0</v>
      </c>
      <c r="CR15" s="110"/>
      <c r="CS15" s="111">
        <v>201528.97999999992</v>
      </c>
      <c r="CT15" s="111">
        <v>0</v>
      </c>
      <c r="CU15" s="112">
        <v>219771.75</v>
      </c>
      <c r="CV15" s="112">
        <v>-18242.77</v>
      </c>
      <c r="CW15" s="112">
        <v>-18242.770000000077</v>
      </c>
      <c r="CX15" s="111">
        <v>-18242.77</v>
      </c>
      <c r="CY15" s="111">
        <v>201528.98</v>
      </c>
      <c r="CZ15" s="113">
        <v>0</v>
      </c>
      <c r="DA15" s="111">
        <v>0</v>
      </c>
      <c r="DB15" s="111">
        <v>35687.960000000021</v>
      </c>
      <c r="DC15" s="111">
        <v>0</v>
      </c>
      <c r="DD15" s="112">
        <v>-18242.77</v>
      </c>
      <c r="DF15" s="111">
        <v>-7.6397554948925972E-11</v>
      </c>
      <c r="DI15" s="111">
        <v>201528.97999999992</v>
      </c>
      <c r="DJ15" s="111">
        <v>0</v>
      </c>
      <c r="DK15" s="112">
        <v>219771.75</v>
      </c>
      <c r="DL15" s="112">
        <v>-18242.77</v>
      </c>
      <c r="DQ15" s="103">
        <v>3301026</v>
      </c>
      <c r="DT15" s="111">
        <f t="shared" si="2"/>
        <v>700445.23</v>
      </c>
      <c r="DU15" s="111">
        <f t="shared" si="3"/>
        <v>778039.30999999994</v>
      </c>
      <c r="DV15" s="111">
        <f t="shared" si="4"/>
        <v>-77594.079999999958</v>
      </c>
      <c r="DW15" s="111">
        <f t="shared" si="5"/>
        <v>22951.52</v>
      </c>
      <c r="DX15" s="111">
        <f t="shared" si="6"/>
        <v>11073.75</v>
      </c>
      <c r="DY15" s="111">
        <f t="shared" si="9"/>
        <v>11877.77</v>
      </c>
      <c r="EA15" s="111">
        <f t="shared" si="10"/>
        <v>279123.06</v>
      </c>
      <c r="EB15" s="95">
        <f t="shared" si="11"/>
        <v>-77594.079999999958</v>
      </c>
      <c r="EC15" s="111">
        <f t="shared" si="12"/>
        <v>201528.98000000004</v>
      </c>
      <c r="ED15" s="111">
        <v>201528.97999999992</v>
      </c>
      <c r="EE15" s="111">
        <f t="shared" si="7"/>
        <v>0</v>
      </c>
      <c r="EF15" s="111"/>
      <c r="EG15" s="111">
        <f t="shared" si="13"/>
        <v>-11877.77</v>
      </c>
      <c r="EH15" s="111">
        <f t="shared" si="8"/>
        <v>11877.77</v>
      </c>
      <c r="EI15" s="111">
        <f t="shared" si="14"/>
        <v>0</v>
      </c>
      <c r="EJ15" s="113">
        <v>0</v>
      </c>
      <c r="EK15" s="111">
        <f t="shared" si="15"/>
        <v>0</v>
      </c>
    </row>
    <row r="16" spans="1:141" s="87" customFormat="1" x14ac:dyDescent="0.35">
      <c r="A16" s="87" t="str">
        <f>_xlfn.XLOOKUP(C16,[1]Adjustment!B:B,[1]Adjustment!H:H,0,0)</f>
        <v>Agree</v>
      </c>
      <c r="B16" s="87">
        <v>1048</v>
      </c>
      <c r="C16" s="88">
        <v>3301048</v>
      </c>
      <c r="D16" s="98" t="s">
        <v>148</v>
      </c>
      <c r="E16" s="89" t="s">
        <v>149</v>
      </c>
      <c r="F16" s="101"/>
      <c r="G16" s="99"/>
      <c r="H16" s="88"/>
      <c r="I16" s="88"/>
      <c r="J16" s="88"/>
      <c r="K16" s="88"/>
      <c r="L16" s="88"/>
      <c r="M16" s="88"/>
      <c r="N16" s="88"/>
      <c r="O16" s="88"/>
      <c r="P16" s="88"/>
      <c r="Q16" s="88"/>
      <c r="R16" s="88"/>
      <c r="S16" s="92"/>
      <c r="T16" s="92"/>
      <c r="U16" s="92"/>
      <c r="V16" s="92"/>
      <c r="W16" s="92"/>
      <c r="X16" s="92"/>
      <c r="Y16" s="93">
        <v>356045.6</v>
      </c>
      <c r="Z16" s="93"/>
      <c r="AA16" s="93">
        <v>36018.18</v>
      </c>
      <c r="AB16" s="93">
        <v>863940.17</v>
      </c>
      <c r="AC16" s="93">
        <v>0</v>
      </c>
      <c r="AD16" s="93">
        <v>146726.10999999999</v>
      </c>
      <c r="AE16" s="93">
        <v>0</v>
      </c>
      <c r="AF16" s="93">
        <v>0</v>
      </c>
      <c r="AG16" s="93">
        <v>3256.93</v>
      </c>
      <c r="AH16" s="93">
        <v>0</v>
      </c>
      <c r="AI16" s="93">
        <v>0</v>
      </c>
      <c r="AJ16" s="93">
        <v>206043.41</v>
      </c>
      <c r="AK16" s="93">
        <v>0</v>
      </c>
      <c r="AL16" s="93">
        <v>0</v>
      </c>
      <c r="AM16" s="93">
        <v>0</v>
      </c>
      <c r="AN16" s="93">
        <v>14407.5</v>
      </c>
      <c r="AO16" s="93">
        <v>26350</v>
      </c>
      <c r="AP16" s="93">
        <v>0</v>
      </c>
      <c r="AQ16" s="93">
        <v>0</v>
      </c>
      <c r="AR16" s="93">
        <v>0</v>
      </c>
      <c r="AS16" s="93">
        <v>0</v>
      </c>
      <c r="AT16" s="93">
        <v>0</v>
      </c>
      <c r="AU16" s="93">
        <v>0</v>
      </c>
      <c r="AV16" s="93">
        <v>0</v>
      </c>
      <c r="AW16" s="93">
        <v>323684.53999999998</v>
      </c>
      <c r="AX16" s="93">
        <v>0</v>
      </c>
      <c r="AY16" s="93">
        <v>398052.89</v>
      </c>
      <c r="AZ16" s="93">
        <v>0</v>
      </c>
      <c r="BA16" s="93">
        <v>193724.59</v>
      </c>
      <c r="BB16" s="93">
        <v>0</v>
      </c>
      <c r="BC16" s="93">
        <v>153898.26</v>
      </c>
      <c r="BD16" s="93">
        <v>611.29999999999995</v>
      </c>
      <c r="BE16" s="93">
        <v>17737.36</v>
      </c>
      <c r="BF16" s="93">
        <v>0</v>
      </c>
      <c r="BG16" s="93">
        <v>0</v>
      </c>
      <c r="BH16" s="93">
        <v>15816.86</v>
      </c>
      <c r="BI16" s="93">
        <v>0</v>
      </c>
      <c r="BJ16" s="93">
        <v>4683.5200000000004</v>
      </c>
      <c r="BK16" s="93">
        <v>218.86</v>
      </c>
      <c r="BL16" s="93">
        <v>4794.3599999999997</v>
      </c>
      <c r="BM16" s="93">
        <v>0</v>
      </c>
      <c r="BN16" s="93">
        <v>1367.12</v>
      </c>
      <c r="BO16" s="93">
        <v>55832.36</v>
      </c>
      <c r="BP16" s="93">
        <v>9730.49</v>
      </c>
      <c r="BQ16" s="93">
        <v>0</v>
      </c>
      <c r="BR16" s="93">
        <v>26790.94</v>
      </c>
      <c r="BS16" s="93">
        <v>3135</v>
      </c>
      <c r="BT16" s="93">
        <v>0</v>
      </c>
      <c r="BU16" s="93">
        <v>41357.33</v>
      </c>
      <c r="BV16" s="93">
        <v>12589.43</v>
      </c>
      <c r="BW16" s="93">
        <v>3000</v>
      </c>
      <c r="BX16" s="93">
        <v>50904.92</v>
      </c>
      <c r="BY16" s="93">
        <v>0</v>
      </c>
      <c r="BZ16" s="93">
        <v>0</v>
      </c>
      <c r="CA16" s="93"/>
      <c r="CB16" s="93">
        <v>0</v>
      </c>
      <c r="CC16" s="93">
        <v>0</v>
      </c>
      <c r="CD16" s="93">
        <v>5269</v>
      </c>
      <c r="CE16" s="93">
        <v>0</v>
      </c>
      <c r="CF16" s="93">
        <v>0</v>
      </c>
      <c r="CG16" s="93">
        <v>0</v>
      </c>
      <c r="CH16" s="93">
        <v>0</v>
      </c>
      <c r="CI16" s="93">
        <v>9645</v>
      </c>
      <c r="CJ16" s="93">
        <v>0</v>
      </c>
      <c r="CK16" s="93"/>
      <c r="CL16" s="93">
        <v>298839.58999999985</v>
      </c>
      <c r="CM16" s="93"/>
      <c r="CN16" s="93">
        <v>31642.18</v>
      </c>
      <c r="CO16" s="93">
        <v>0</v>
      </c>
      <c r="CP16" s="93">
        <v>0</v>
      </c>
      <c r="CQ16" s="93">
        <v>0</v>
      </c>
      <c r="CR16" s="100"/>
      <c r="CS16" s="95">
        <v>255095.5499999997</v>
      </c>
      <c r="CT16" s="95">
        <v>0</v>
      </c>
      <c r="CU16" s="96">
        <v>298839.59000000003</v>
      </c>
      <c r="CV16" s="96">
        <v>-43744.04</v>
      </c>
      <c r="CW16" s="96">
        <v>-43744.040000000328</v>
      </c>
      <c r="CX16" s="95">
        <v>-43744.04</v>
      </c>
      <c r="CY16" s="95">
        <v>255095.55000000002</v>
      </c>
      <c r="CZ16" s="97">
        <v>0</v>
      </c>
      <c r="DA16" s="95">
        <v>0</v>
      </c>
      <c r="DB16" s="95">
        <v>0</v>
      </c>
      <c r="DC16" s="95">
        <v>0</v>
      </c>
      <c r="DD16" s="96">
        <v>-43744.04</v>
      </c>
      <c r="DF16" s="95">
        <v>-3.2741809263825417E-10</v>
      </c>
      <c r="DI16" s="95">
        <v>255095.5499999997</v>
      </c>
      <c r="DJ16" s="95">
        <v>0</v>
      </c>
      <c r="DK16" s="96">
        <v>298839.59000000003</v>
      </c>
      <c r="DL16" s="96">
        <v>-43744.04</v>
      </c>
      <c r="DQ16" s="88">
        <v>3301048</v>
      </c>
      <c r="DT16" s="95">
        <f t="shared" si="2"/>
        <v>1260724.1200000001</v>
      </c>
      <c r="DU16" s="95">
        <f t="shared" si="3"/>
        <v>1317930.1300000004</v>
      </c>
      <c r="DV16" s="95">
        <f t="shared" si="4"/>
        <v>-57206.010000000242</v>
      </c>
      <c r="DW16" s="95">
        <f t="shared" si="5"/>
        <v>5269</v>
      </c>
      <c r="DX16" s="95">
        <f t="shared" si="6"/>
        <v>9645</v>
      </c>
      <c r="DY16" s="95">
        <f t="shared" si="9"/>
        <v>-4376</v>
      </c>
      <c r="EA16" s="95">
        <f t="shared" si="10"/>
        <v>356045.6</v>
      </c>
      <c r="EB16" s="95">
        <f t="shared" si="11"/>
        <v>-57206.010000000242</v>
      </c>
      <c r="EC16" s="95">
        <f t="shared" si="12"/>
        <v>298839.58999999973</v>
      </c>
      <c r="ED16" s="95">
        <v>298839.58999999973</v>
      </c>
      <c r="EE16" s="95">
        <f t="shared" si="7"/>
        <v>0</v>
      </c>
      <c r="EF16" s="95"/>
      <c r="EG16" s="95">
        <f t="shared" si="13"/>
        <v>36018.18</v>
      </c>
      <c r="EH16" s="95">
        <f t="shared" si="8"/>
        <v>-4376</v>
      </c>
      <c r="EI16" s="95">
        <f t="shared" si="14"/>
        <v>31642.18</v>
      </c>
      <c r="EJ16" s="97">
        <v>31642.18</v>
      </c>
      <c r="EK16" s="95">
        <f t="shared" si="15"/>
        <v>0</v>
      </c>
    </row>
    <row r="17" spans="1:141" s="102" customFormat="1" x14ac:dyDescent="0.35">
      <c r="A17" s="102" t="str">
        <f>_xlfn.XLOOKUP(C17,[1]Adjustment!B:B,[1]Adjustment!H:H,0,0)</f>
        <v>Agree</v>
      </c>
      <c r="B17" s="87">
        <v>1049</v>
      </c>
      <c r="C17" s="103">
        <v>3301049</v>
      </c>
      <c r="D17" s="104" t="s">
        <v>150</v>
      </c>
      <c r="E17" s="105" t="s">
        <v>151</v>
      </c>
      <c r="F17" s="106"/>
      <c r="G17" s="107"/>
      <c r="H17" s="103"/>
      <c r="I17" s="103"/>
      <c r="J17" s="103"/>
      <c r="K17" s="103"/>
      <c r="L17" s="103"/>
      <c r="M17" s="103"/>
      <c r="N17" s="103"/>
      <c r="O17" s="103"/>
      <c r="P17" s="103"/>
      <c r="Q17" s="103"/>
      <c r="R17" s="103"/>
      <c r="S17" s="108"/>
      <c r="T17" s="108"/>
      <c r="U17" s="108"/>
      <c r="V17" s="108"/>
      <c r="W17" s="108"/>
      <c r="X17" s="108"/>
      <c r="Y17" s="109">
        <v>291825.68</v>
      </c>
      <c r="Z17" s="109"/>
      <c r="AA17" s="109">
        <v>-21408.61</v>
      </c>
      <c r="AB17" s="109">
        <v>687517.24</v>
      </c>
      <c r="AC17" s="109">
        <v>0</v>
      </c>
      <c r="AD17" s="109">
        <v>29840</v>
      </c>
      <c r="AE17" s="109">
        <v>0</v>
      </c>
      <c r="AF17" s="109">
        <v>0</v>
      </c>
      <c r="AG17" s="109">
        <v>0</v>
      </c>
      <c r="AH17" s="109">
        <v>0</v>
      </c>
      <c r="AI17" s="109">
        <v>0</v>
      </c>
      <c r="AJ17" s="109">
        <v>133695.81000000017</v>
      </c>
      <c r="AK17" s="109">
        <v>0</v>
      </c>
      <c r="AL17" s="109">
        <v>0</v>
      </c>
      <c r="AM17" s="109">
        <v>0</v>
      </c>
      <c r="AN17" s="109">
        <v>16182.43</v>
      </c>
      <c r="AO17" s="109">
        <v>0</v>
      </c>
      <c r="AP17" s="109">
        <v>0</v>
      </c>
      <c r="AQ17" s="109">
        <v>0</v>
      </c>
      <c r="AR17" s="109">
        <v>0</v>
      </c>
      <c r="AS17" s="109">
        <v>0</v>
      </c>
      <c r="AT17" s="109">
        <v>0</v>
      </c>
      <c r="AU17" s="109">
        <v>0</v>
      </c>
      <c r="AV17" s="109">
        <v>0</v>
      </c>
      <c r="AW17" s="109">
        <v>165461.50000000012</v>
      </c>
      <c r="AX17" s="109">
        <v>20077.62</v>
      </c>
      <c r="AY17" s="109">
        <v>176894.54</v>
      </c>
      <c r="AZ17" s="109">
        <v>29346.61</v>
      </c>
      <c r="BA17" s="109">
        <v>117290.86</v>
      </c>
      <c r="BB17" s="109">
        <v>0</v>
      </c>
      <c r="BC17" s="109">
        <v>13253.3</v>
      </c>
      <c r="BD17" s="109">
        <v>51</v>
      </c>
      <c r="BE17" s="109">
        <v>3995</v>
      </c>
      <c r="BF17" s="109">
        <v>0</v>
      </c>
      <c r="BG17" s="109">
        <v>0</v>
      </c>
      <c r="BH17" s="109">
        <v>4925.8100000000004</v>
      </c>
      <c r="BI17" s="109">
        <v>0</v>
      </c>
      <c r="BJ17" s="109">
        <v>0</v>
      </c>
      <c r="BK17" s="109">
        <v>184.29</v>
      </c>
      <c r="BL17" s="109">
        <v>10643.75</v>
      </c>
      <c r="BM17" s="109">
        <v>0</v>
      </c>
      <c r="BN17" s="109">
        <v>1858.02</v>
      </c>
      <c r="BO17" s="109">
        <v>19704.52</v>
      </c>
      <c r="BP17" s="109">
        <v>3639.5</v>
      </c>
      <c r="BQ17" s="109">
        <v>0</v>
      </c>
      <c r="BR17" s="109">
        <v>12517.3</v>
      </c>
      <c r="BS17" s="109">
        <v>4895</v>
      </c>
      <c r="BT17" s="109">
        <v>0</v>
      </c>
      <c r="BU17" s="109">
        <v>8143.05</v>
      </c>
      <c r="BV17" s="109">
        <v>2885.05</v>
      </c>
      <c r="BW17" s="109">
        <v>0</v>
      </c>
      <c r="BX17" s="109">
        <v>61920.56</v>
      </c>
      <c r="BY17" s="109">
        <v>0</v>
      </c>
      <c r="BZ17" s="109">
        <v>0</v>
      </c>
      <c r="CA17" s="109">
        <v>31901.57</v>
      </c>
      <c r="CB17" s="109">
        <v>0</v>
      </c>
      <c r="CC17" s="109">
        <v>0</v>
      </c>
      <c r="CD17" s="109">
        <v>4891</v>
      </c>
      <c r="CE17" s="109">
        <v>0</v>
      </c>
      <c r="CF17" s="109">
        <v>31901.57</v>
      </c>
      <c r="CG17" s="109">
        <v>0</v>
      </c>
      <c r="CH17" s="109">
        <v>0</v>
      </c>
      <c r="CI17" s="109">
        <v>4891</v>
      </c>
      <c r="CJ17" s="109">
        <v>10492.96</v>
      </c>
      <c r="CK17" s="109"/>
      <c r="CL17" s="109">
        <v>469472.30999999971</v>
      </c>
      <c r="CM17" s="109"/>
      <c r="CN17" s="93">
        <v>0</v>
      </c>
      <c r="CO17" s="109">
        <v>0</v>
      </c>
      <c r="CP17" s="109">
        <v>0</v>
      </c>
      <c r="CQ17" s="109">
        <v>0</v>
      </c>
      <c r="CR17" s="110"/>
      <c r="CS17" s="111">
        <v>469472.31</v>
      </c>
      <c r="CT17" s="111">
        <v>0</v>
      </c>
      <c r="CU17" s="112">
        <v>501373.88</v>
      </c>
      <c r="CV17" s="112">
        <v>-31901.57</v>
      </c>
      <c r="CW17" s="112">
        <v>-31901.570000000007</v>
      </c>
      <c r="CX17" s="111">
        <v>-31901.57</v>
      </c>
      <c r="CY17" s="111">
        <v>469472.31</v>
      </c>
      <c r="CZ17" s="113">
        <v>0</v>
      </c>
      <c r="DA17" s="111">
        <v>0</v>
      </c>
      <c r="DB17" s="111">
        <v>10087.989999999816</v>
      </c>
      <c r="DC17" s="111">
        <v>0</v>
      </c>
      <c r="DD17" s="112">
        <v>-31901.57</v>
      </c>
      <c r="DF17" s="111">
        <v>0</v>
      </c>
      <c r="DI17" s="111">
        <v>469472.31</v>
      </c>
      <c r="DJ17" s="111">
        <v>0</v>
      </c>
      <c r="DK17" s="112">
        <v>501373.88</v>
      </c>
      <c r="DL17" s="112">
        <v>-31901.57</v>
      </c>
      <c r="DQ17" s="103">
        <v>3301049</v>
      </c>
      <c r="DT17" s="111">
        <f t="shared" si="2"/>
        <v>867235.48000000021</v>
      </c>
      <c r="DU17" s="111">
        <f t="shared" si="3"/>
        <v>689588.85000000044</v>
      </c>
      <c r="DV17" s="111">
        <f t="shared" si="4"/>
        <v>177646.62999999977</v>
      </c>
      <c r="DW17" s="111">
        <f t="shared" si="5"/>
        <v>36792.57</v>
      </c>
      <c r="DX17" s="111">
        <f t="shared" si="6"/>
        <v>15383.96</v>
      </c>
      <c r="DY17" s="111">
        <f t="shared" si="9"/>
        <v>21408.61</v>
      </c>
      <c r="EA17" s="111">
        <f t="shared" si="10"/>
        <v>291825.68</v>
      </c>
      <c r="EB17" s="95">
        <f t="shared" si="11"/>
        <v>177646.62999999977</v>
      </c>
      <c r="EC17" s="111">
        <f t="shared" si="12"/>
        <v>469472.30999999976</v>
      </c>
      <c r="ED17" s="111">
        <v>469472.30999999988</v>
      </c>
      <c r="EE17" s="111">
        <f t="shared" si="7"/>
        <v>0</v>
      </c>
      <c r="EF17" s="111"/>
      <c r="EG17" s="111">
        <f t="shared" si="13"/>
        <v>-21408.61</v>
      </c>
      <c r="EH17" s="111">
        <f t="shared" si="8"/>
        <v>21408.61</v>
      </c>
      <c r="EI17" s="111">
        <f t="shared" si="14"/>
        <v>0</v>
      </c>
      <c r="EJ17" s="113">
        <v>0</v>
      </c>
      <c r="EK17" s="111">
        <f t="shared" si="15"/>
        <v>0</v>
      </c>
    </row>
    <row r="18" spans="1:141" s="87" customFormat="1" x14ac:dyDescent="0.35">
      <c r="A18" s="87" t="str">
        <f>_xlfn.XLOOKUP(C18,[1]Adjustment!B:B,[1]Adjustment!H:H,0,0)</f>
        <v>Agree</v>
      </c>
      <c r="B18" s="87">
        <v>1100</v>
      </c>
      <c r="C18" s="88">
        <v>3301100</v>
      </c>
      <c r="D18" s="98" t="s">
        <v>152</v>
      </c>
      <c r="E18" s="89" t="s">
        <v>153</v>
      </c>
      <c r="F18" s="101"/>
      <c r="G18" s="99"/>
      <c r="H18" s="88"/>
      <c r="I18" s="88"/>
      <c r="J18" s="88"/>
      <c r="K18" s="88"/>
      <c r="L18" s="88"/>
      <c r="M18" s="88"/>
      <c r="N18" s="88"/>
      <c r="O18" s="88"/>
      <c r="P18" s="88"/>
      <c r="Q18" s="88"/>
      <c r="R18" s="88"/>
      <c r="S18" s="92"/>
      <c r="T18" s="92"/>
      <c r="U18" s="92"/>
      <c r="V18" s="92"/>
      <c r="W18" s="92"/>
      <c r="X18" s="92"/>
      <c r="Y18" s="93"/>
      <c r="Z18" s="93">
        <v>-60170.41</v>
      </c>
      <c r="AA18" s="93">
        <v>33570.5</v>
      </c>
      <c r="AB18" s="93">
        <v>122837.89</v>
      </c>
      <c r="AC18" s="93">
        <v>0</v>
      </c>
      <c r="AD18" s="93">
        <v>116147.57</v>
      </c>
      <c r="AE18" s="93">
        <v>0</v>
      </c>
      <c r="AF18" s="93">
        <v>321863.75</v>
      </c>
      <c r="AG18" s="93">
        <v>3970.79</v>
      </c>
      <c r="AH18" s="93">
        <v>0</v>
      </c>
      <c r="AI18" s="93">
        <v>0</v>
      </c>
      <c r="AJ18" s="93">
        <v>12061020.479999999</v>
      </c>
      <c r="AK18" s="93">
        <v>0</v>
      </c>
      <c r="AL18" s="93">
        <v>0</v>
      </c>
      <c r="AM18" s="93">
        <v>0</v>
      </c>
      <c r="AN18" s="93">
        <v>0</v>
      </c>
      <c r="AO18" s="93">
        <v>0</v>
      </c>
      <c r="AP18" s="93">
        <v>0</v>
      </c>
      <c r="AQ18" s="93">
        <v>0</v>
      </c>
      <c r="AR18" s="93">
        <v>0</v>
      </c>
      <c r="AS18" s="93">
        <v>0</v>
      </c>
      <c r="AT18" s="93">
        <v>0</v>
      </c>
      <c r="AU18" s="93">
        <v>251639.56</v>
      </c>
      <c r="AV18" s="93">
        <v>19617</v>
      </c>
      <c r="AW18" s="93">
        <v>4761953.1999999983</v>
      </c>
      <c r="AX18" s="93">
        <v>0</v>
      </c>
      <c r="AY18" s="93">
        <v>804665.97</v>
      </c>
      <c r="AZ18" s="93">
        <v>58773.84</v>
      </c>
      <c r="BA18" s="93">
        <v>1155422.8700000001</v>
      </c>
      <c r="BB18" s="93">
        <v>0</v>
      </c>
      <c r="BC18" s="93">
        <v>24868.23</v>
      </c>
      <c r="BD18" s="93">
        <v>23567.21</v>
      </c>
      <c r="BE18" s="93">
        <v>37036.31</v>
      </c>
      <c r="BF18" s="93">
        <v>0</v>
      </c>
      <c r="BG18" s="93">
        <v>0</v>
      </c>
      <c r="BH18" s="93">
        <v>152255.9</v>
      </c>
      <c r="BI18" s="93">
        <v>6956.82</v>
      </c>
      <c r="BJ18" s="93">
        <v>2638.35</v>
      </c>
      <c r="BK18" s="93">
        <v>15682.6</v>
      </c>
      <c r="BL18" s="93">
        <v>125175.28</v>
      </c>
      <c r="BM18" s="93">
        <v>18213.5</v>
      </c>
      <c r="BN18" s="93">
        <v>199233.4</v>
      </c>
      <c r="BO18" s="93">
        <v>773715.46</v>
      </c>
      <c r="BP18" s="93">
        <v>21300.42</v>
      </c>
      <c r="BQ18" s="93">
        <v>54425.32</v>
      </c>
      <c r="BR18" s="93">
        <v>193566.15</v>
      </c>
      <c r="BS18" s="93">
        <v>16518</v>
      </c>
      <c r="BT18" s="93">
        <v>8874.44</v>
      </c>
      <c r="BU18" s="93">
        <v>202107.41</v>
      </c>
      <c r="BV18" s="93">
        <v>287314.15000000002</v>
      </c>
      <c r="BW18" s="93">
        <v>0</v>
      </c>
      <c r="BX18" s="93">
        <v>2829273.68</v>
      </c>
      <c r="BY18" s="93">
        <v>0</v>
      </c>
      <c r="BZ18" s="93">
        <v>0</v>
      </c>
      <c r="CA18" s="93"/>
      <c r="CB18" s="93">
        <v>0</v>
      </c>
      <c r="CC18" s="93">
        <v>0</v>
      </c>
      <c r="CD18" s="93">
        <v>18149.689999999999</v>
      </c>
      <c r="CE18" s="93">
        <v>40526.300000000003</v>
      </c>
      <c r="CF18" s="93">
        <v>0</v>
      </c>
      <c r="CG18" s="93">
        <v>0</v>
      </c>
      <c r="CH18" s="93">
        <v>0</v>
      </c>
      <c r="CI18" s="93">
        <v>0</v>
      </c>
      <c r="CJ18" s="93">
        <v>0</v>
      </c>
      <c r="CK18" s="93"/>
      <c r="CL18" s="93">
        <v>1063388.120000001</v>
      </c>
      <c r="CM18" s="93"/>
      <c r="CN18" s="93">
        <v>92246.49</v>
      </c>
      <c r="CO18" s="93">
        <v>0</v>
      </c>
      <c r="CP18" s="93">
        <v>0</v>
      </c>
      <c r="CQ18" s="93">
        <v>0</v>
      </c>
      <c r="CR18" s="100"/>
      <c r="CS18" s="95">
        <v>1063388.1199999994</v>
      </c>
      <c r="CT18" s="95">
        <v>92246.49</v>
      </c>
      <c r="CU18" s="96">
        <v>1063388.1200000001</v>
      </c>
      <c r="CV18" s="96">
        <v>92246.49</v>
      </c>
      <c r="CW18" s="96">
        <v>0</v>
      </c>
      <c r="CX18" s="95">
        <v>0</v>
      </c>
      <c r="CY18" s="95">
        <v>1155634.6100000001</v>
      </c>
      <c r="CZ18" s="97">
        <v>-26614.699999999997</v>
      </c>
      <c r="DA18" s="95">
        <v>-26614.699999999997</v>
      </c>
      <c r="DB18" s="95">
        <v>266999.59000000102</v>
      </c>
      <c r="DC18" s="95">
        <v>0</v>
      </c>
      <c r="DD18" s="96"/>
      <c r="DF18" s="95">
        <v>-7.1304384618997574E-10</v>
      </c>
      <c r="DI18" s="95">
        <v>1063388.1199999994</v>
      </c>
      <c r="DJ18" s="95">
        <v>92246.49</v>
      </c>
      <c r="DK18" s="96">
        <v>1063388.1200000001</v>
      </c>
      <c r="DL18" s="96">
        <v>92246.49</v>
      </c>
      <c r="DQ18" s="88">
        <v>3301100</v>
      </c>
      <c r="DT18" s="95">
        <f t="shared" si="2"/>
        <v>12897097.039999999</v>
      </c>
      <c r="DU18" s="95">
        <f t="shared" si="3"/>
        <v>11773538.509999998</v>
      </c>
      <c r="DV18" s="95">
        <f t="shared" si="4"/>
        <v>1123558.5300000012</v>
      </c>
      <c r="DW18" s="95">
        <f t="shared" si="5"/>
        <v>58675.990000000005</v>
      </c>
      <c r="DX18" s="95">
        <f t="shared" si="6"/>
        <v>0</v>
      </c>
      <c r="DY18" s="95">
        <f t="shared" si="9"/>
        <v>58675.990000000005</v>
      </c>
      <c r="EA18" s="95">
        <f t="shared" si="10"/>
        <v>-60170.41</v>
      </c>
      <c r="EB18" s="95">
        <f t="shared" si="11"/>
        <v>1123558.5300000012</v>
      </c>
      <c r="EC18" s="95">
        <f t="shared" si="12"/>
        <v>1063388.1200000013</v>
      </c>
      <c r="ED18" s="95">
        <v>1063388.1200000013</v>
      </c>
      <c r="EE18" s="95">
        <f t="shared" si="7"/>
        <v>0</v>
      </c>
      <c r="EF18" s="95"/>
      <c r="EG18" s="95">
        <f t="shared" si="13"/>
        <v>33570.5</v>
      </c>
      <c r="EH18" s="95">
        <f t="shared" si="8"/>
        <v>58675.990000000005</v>
      </c>
      <c r="EI18" s="95">
        <f t="shared" si="14"/>
        <v>92246.49</v>
      </c>
      <c r="EJ18" s="97">
        <v>92246.49</v>
      </c>
      <c r="EK18" s="95">
        <f t="shared" si="15"/>
        <v>0</v>
      </c>
    </row>
    <row r="19" spans="1:141" s="87" customFormat="1" x14ac:dyDescent="0.35">
      <c r="A19" s="87" t="str">
        <f>_xlfn.XLOOKUP(C19,[1]Adjustment!B:B,[1]Adjustment!H:H,0,0)</f>
        <v>Agree</v>
      </c>
      <c r="B19" s="87">
        <v>2004</v>
      </c>
      <c r="C19" s="88">
        <v>3302004</v>
      </c>
      <c r="D19" s="98" t="s">
        <v>154</v>
      </c>
      <c r="E19" s="89" t="s">
        <v>155</v>
      </c>
      <c r="F19" s="101"/>
      <c r="G19" s="99"/>
      <c r="H19" s="88"/>
      <c r="I19" s="88"/>
      <c r="J19" s="88"/>
      <c r="K19" s="88"/>
      <c r="L19" s="88"/>
      <c r="M19" s="88"/>
      <c r="N19" s="88"/>
      <c r="O19" s="88"/>
      <c r="P19" s="88"/>
      <c r="Q19" s="88"/>
      <c r="R19" s="88"/>
      <c r="S19" s="92"/>
      <c r="T19" s="92"/>
      <c r="U19" s="92"/>
      <c r="V19" s="92"/>
      <c r="W19" s="92"/>
      <c r="X19" s="92"/>
      <c r="Y19" s="93">
        <v>32349.22</v>
      </c>
      <c r="Z19" s="93"/>
      <c r="AA19" s="93">
        <v>55361.9</v>
      </c>
      <c r="AB19" s="93">
        <v>1675775.23</v>
      </c>
      <c r="AC19" s="93">
        <v>0</v>
      </c>
      <c r="AD19" s="93">
        <v>12392.5</v>
      </c>
      <c r="AE19" s="93">
        <v>0</v>
      </c>
      <c r="AF19" s="93">
        <v>181876.5</v>
      </c>
      <c r="AG19" s="93">
        <v>400</v>
      </c>
      <c r="AH19" s="93">
        <v>0</v>
      </c>
      <c r="AI19" s="93">
        <v>0</v>
      </c>
      <c r="AJ19" s="93">
        <v>120285.2399999998</v>
      </c>
      <c r="AK19" s="93">
        <v>0</v>
      </c>
      <c r="AL19" s="93">
        <v>0</v>
      </c>
      <c r="AM19" s="93">
        <v>0</v>
      </c>
      <c r="AN19" s="93">
        <v>0</v>
      </c>
      <c r="AO19" s="93">
        <v>0</v>
      </c>
      <c r="AP19" s="93">
        <v>0</v>
      </c>
      <c r="AQ19" s="93">
        <v>0</v>
      </c>
      <c r="AR19" s="93">
        <v>0</v>
      </c>
      <c r="AS19" s="93">
        <v>0</v>
      </c>
      <c r="AT19" s="93">
        <v>0</v>
      </c>
      <c r="AU19" s="93">
        <v>28418.76</v>
      </c>
      <c r="AV19" s="93">
        <v>54356</v>
      </c>
      <c r="AW19" s="93">
        <v>1132662.9400000004</v>
      </c>
      <c r="AX19" s="93">
        <v>0</v>
      </c>
      <c r="AY19" s="93">
        <v>201258.9</v>
      </c>
      <c r="AZ19" s="93">
        <v>48994.81</v>
      </c>
      <c r="BA19" s="93">
        <v>162619.12</v>
      </c>
      <c r="BB19" s="93">
        <v>0</v>
      </c>
      <c r="BC19" s="93">
        <v>60872.51</v>
      </c>
      <c r="BD19" s="93">
        <v>660</v>
      </c>
      <c r="BE19" s="93">
        <v>4367</v>
      </c>
      <c r="BF19" s="93">
        <v>0</v>
      </c>
      <c r="BG19" s="93">
        <v>0</v>
      </c>
      <c r="BH19" s="93">
        <v>1064.57</v>
      </c>
      <c r="BI19" s="93">
        <v>9431.69</v>
      </c>
      <c r="BJ19" s="93">
        <v>71675.41</v>
      </c>
      <c r="BK19" s="93">
        <v>4374.66</v>
      </c>
      <c r="BL19" s="93">
        <v>84593.55</v>
      </c>
      <c r="BM19" s="93">
        <v>0</v>
      </c>
      <c r="BN19" s="93">
        <v>8662.91</v>
      </c>
      <c r="BO19" s="93">
        <v>73485.009999999995</v>
      </c>
      <c r="BP19" s="93">
        <v>976</v>
      </c>
      <c r="BQ19" s="93">
        <v>1098.08</v>
      </c>
      <c r="BR19" s="93">
        <v>2951.13</v>
      </c>
      <c r="BS19" s="93">
        <v>4895</v>
      </c>
      <c r="BT19" s="93">
        <v>3945.6</v>
      </c>
      <c r="BU19" s="93">
        <v>121968.47</v>
      </c>
      <c r="BV19" s="93">
        <v>58258.74</v>
      </c>
      <c r="BW19" s="93">
        <v>0</v>
      </c>
      <c r="BX19" s="93">
        <v>69120.77</v>
      </c>
      <c r="BY19" s="93">
        <v>0</v>
      </c>
      <c r="BZ19" s="93">
        <v>0</v>
      </c>
      <c r="CA19" s="93"/>
      <c r="CB19" s="93">
        <v>0</v>
      </c>
      <c r="CC19" s="93">
        <v>0</v>
      </c>
      <c r="CD19" s="93">
        <v>7690</v>
      </c>
      <c r="CE19" s="93">
        <v>0</v>
      </c>
      <c r="CF19" s="93">
        <v>0</v>
      </c>
      <c r="CG19" s="93">
        <v>0</v>
      </c>
      <c r="CH19" s="93">
        <v>0</v>
      </c>
      <c r="CI19" s="93">
        <v>7690</v>
      </c>
      <c r="CJ19" s="93">
        <v>0</v>
      </c>
      <c r="CK19" s="93"/>
      <c r="CL19" s="93">
        <v>-22083.420000000391</v>
      </c>
      <c r="CM19" s="93"/>
      <c r="CN19" s="93">
        <v>55361.9</v>
      </c>
      <c r="CO19" s="93">
        <v>0</v>
      </c>
      <c r="CP19" s="93">
        <v>0</v>
      </c>
      <c r="CQ19" s="93">
        <v>0</v>
      </c>
      <c r="CR19" s="100"/>
      <c r="CS19" s="95">
        <v>-86629.129999999859</v>
      </c>
      <c r="CT19" s="95">
        <v>0</v>
      </c>
      <c r="CU19" s="96">
        <v>-31267.23</v>
      </c>
      <c r="CV19" s="96">
        <v>-55361.9</v>
      </c>
      <c r="CW19" s="96">
        <v>-55361.899999999863</v>
      </c>
      <c r="CX19" s="95">
        <v>-55361.9</v>
      </c>
      <c r="CY19" s="95">
        <v>-86629.13</v>
      </c>
      <c r="CZ19" s="97">
        <v>0</v>
      </c>
      <c r="DA19" s="95">
        <v>0</v>
      </c>
      <c r="DB19" s="95">
        <v>26168.670000000206</v>
      </c>
      <c r="DC19" s="95">
        <v>0</v>
      </c>
      <c r="DD19" s="96">
        <v>-55361.9</v>
      </c>
      <c r="DF19" s="95">
        <v>1.3824319466948509E-10</v>
      </c>
      <c r="DI19" s="95">
        <v>-86629.129999999859</v>
      </c>
      <c r="DJ19" s="95">
        <v>0</v>
      </c>
      <c r="DK19" s="96">
        <v>-31267.23</v>
      </c>
      <c r="DL19" s="96">
        <v>-55361.9</v>
      </c>
      <c r="DQ19" s="88">
        <v>3302004</v>
      </c>
      <c r="DT19" s="95">
        <f t="shared" si="2"/>
        <v>2073504.2299999997</v>
      </c>
      <c r="DU19" s="95">
        <f t="shared" si="3"/>
        <v>2127936.87</v>
      </c>
      <c r="DV19" s="95">
        <f t="shared" si="4"/>
        <v>-54432.640000000363</v>
      </c>
      <c r="DW19" s="95">
        <f t="shared" si="5"/>
        <v>7690</v>
      </c>
      <c r="DX19" s="95">
        <f t="shared" si="6"/>
        <v>7690</v>
      </c>
      <c r="DY19" s="95">
        <f t="shared" si="9"/>
        <v>0</v>
      </c>
      <c r="EA19" s="95">
        <f t="shared" si="10"/>
        <v>32349.22</v>
      </c>
      <c r="EB19" s="95">
        <f t="shared" si="11"/>
        <v>-54432.640000000363</v>
      </c>
      <c r="EC19" s="95">
        <f t="shared" si="12"/>
        <v>-22083.420000000362</v>
      </c>
      <c r="ED19" s="95">
        <v>-22083.420000000129</v>
      </c>
      <c r="EE19" s="95">
        <f t="shared" si="7"/>
        <v>-2.3283064365386963E-10</v>
      </c>
      <c r="EF19" s="95"/>
      <c r="EG19" s="95">
        <f t="shared" si="13"/>
        <v>55361.9</v>
      </c>
      <c r="EH19" s="95">
        <f t="shared" si="8"/>
        <v>0</v>
      </c>
      <c r="EI19" s="95">
        <f t="shared" si="14"/>
        <v>55361.9</v>
      </c>
      <c r="EJ19" s="97">
        <v>55361.9</v>
      </c>
      <c r="EK19" s="95">
        <f t="shared" si="15"/>
        <v>0</v>
      </c>
    </row>
    <row r="20" spans="1:141" s="87" customFormat="1" x14ac:dyDescent="0.35">
      <c r="A20" s="87" t="str">
        <f>_xlfn.XLOOKUP(C20,[1]Adjustment!B:B,[1]Adjustment!H:H,0,0)</f>
        <v>Agree</v>
      </c>
      <c r="B20" s="87">
        <v>2010</v>
      </c>
      <c r="C20" s="88">
        <v>3302010</v>
      </c>
      <c r="D20" s="98" t="s">
        <v>156</v>
      </c>
      <c r="E20" s="89" t="s">
        <v>157</v>
      </c>
      <c r="F20" s="101"/>
      <c r="G20" s="99"/>
      <c r="H20" s="88"/>
      <c r="I20" s="88"/>
      <c r="J20" s="88"/>
      <c r="K20" s="88"/>
      <c r="L20" s="88"/>
      <c r="M20" s="88"/>
      <c r="N20" s="88"/>
      <c r="O20" s="88"/>
      <c r="P20" s="88"/>
      <c r="Q20" s="88"/>
      <c r="R20" s="88"/>
      <c r="S20" s="92"/>
      <c r="T20" s="92"/>
      <c r="U20" s="92"/>
      <c r="V20" s="92"/>
      <c r="W20" s="92"/>
      <c r="X20" s="92"/>
      <c r="Y20" s="93">
        <v>446116.9</v>
      </c>
      <c r="Z20" s="93"/>
      <c r="AA20" s="93">
        <v>107908.3</v>
      </c>
      <c r="AB20" s="93">
        <v>2524931.0299999998</v>
      </c>
      <c r="AC20" s="93">
        <v>0</v>
      </c>
      <c r="AD20" s="93">
        <v>18900</v>
      </c>
      <c r="AE20" s="93">
        <v>0</v>
      </c>
      <c r="AF20" s="93">
        <v>356476.5</v>
      </c>
      <c r="AG20" s="93">
        <v>12570.79</v>
      </c>
      <c r="AH20" s="93">
        <v>0</v>
      </c>
      <c r="AI20" s="93">
        <v>0</v>
      </c>
      <c r="AJ20" s="93">
        <v>53523.79</v>
      </c>
      <c r="AK20" s="93">
        <v>12720.86</v>
      </c>
      <c r="AL20" s="93">
        <v>0</v>
      </c>
      <c r="AM20" s="93">
        <v>0</v>
      </c>
      <c r="AN20" s="93">
        <v>19497.080000000002</v>
      </c>
      <c r="AO20" s="93">
        <v>0</v>
      </c>
      <c r="AP20" s="93">
        <v>0</v>
      </c>
      <c r="AQ20" s="93">
        <v>0</v>
      </c>
      <c r="AR20" s="93">
        <v>0</v>
      </c>
      <c r="AS20" s="93">
        <v>0</v>
      </c>
      <c r="AT20" s="93">
        <v>0</v>
      </c>
      <c r="AU20" s="93">
        <v>37835.760000000002</v>
      </c>
      <c r="AV20" s="93">
        <v>59851</v>
      </c>
      <c r="AW20" s="93">
        <v>1258960.9800000009</v>
      </c>
      <c r="AX20" s="93">
        <v>0</v>
      </c>
      <c r="AY20" s="93">
        <v>393228.14</v>
      </c>
      <c r="AZ20" s="93">
        <v>111643.05</v>
      </c>
      <c r="BA20" s="93">
        <v>137260.41</v>
      </c>
      <c r="BB20" s="93">
        <v>0</v>
      </c>
      <c r="BC20" s="93">
        <v>67388.259999999995</v>
      </c>
      <c r="BD20" s="93">
        <v>8191.93</v>
      </c>
      <c r="BE20" s="93">
        <v>0</v>
      </c>
      <c r="BF20" s="93">
        <v>0</v>
      </c>
      <c r="BG20" s="93">
        <v>0</v>
      </c>
      <c r="BH20" s="93">
        <v>162950.41</v>
      </c>
      <c r="BI20" s="93">
        <v>1331.69</v>
      </c>
      <c r="BJ20" s="93">
        <v>3656.54</v>
      </c>
      <c r="BK20" s="93">
        <v>8325.0499999999993</v>
      </c>
      <c r="BL20" s="93">
        <v>91636.7</v>
      </c>
      <c r="BM20" s="93">
        <v>45795.839999999997</v>
      </c>
      <c r="BN20" s="93">
        <v>16115.33</v>
      </c>
      <c r="BO20" s="93">
        <v>91807.499999998952</v>
      </c>
      <c r="BP20" s="93">
        <v>43997.35</v>
      </c>
      <c r="BQ20" s="93">
        <v>0</v>
      </c>
      <c r="BR20" s="93">
        <v>80792.600000000006</v>
      </c>
      <c r="BS20" s="93">
        <v>4895</v>
      </c>
      <c r="BT20" s="93">
        <v>2660</v>
      </c>
      <c r="BU20" s="93">
        <v>211440.95</v>
      </c>
      <c r="BV20" s="93">
        <v>174916.72</v>
      </c>
      <c r="BW20" s="93">
        <v>0</v>
      </c>
      <c r="BX20" s="93">
        <v>150818.75</v>
      </c>
      <c r="BY20" s="93">
        <v>0</v>
      </c>
      <c r="BZ20" s="93">
        <v>0</v>
      </c>
      <c r="CA20" s="93"/>
      <c r="CB20" s="93">
        <v>0</v>
      </c>
      <c r="CC20" s="93">
        <v>0</v>
      </c>
      <c r="CD20" s="93">
        <v>9433.7099999999991</v>
      </c>
      <c r="CE20" s="93">
        <v>20250.699999999983</v>
      </c>
      <c r="CF20" s="93">
        <v>0</v>
      </c>
      <c r="CG20" s="93">
        <v>0</v>
      </c>
      <c r="CH20" s="93">
        <v>0</v>
      </c>
      <c r="CI20" s="93">
        <v>0</v>
      </c>
      <c r="CJ20" s="93">
        <v>0</v>
      </c>
      <c r="CK20" s="93"/>
      <c r="CL20" s="93">
        <v>474610.50999999885</v>
      </c>
      <c r="CM20" s="93"/>
      <c r="CN20" s="93">
        <v>137592.71</v>
      </c>
      <c r="CO20" s="93">
        <v>0</v>
      </c>
      <c r="CP20" s="93">
        <v>0</v>
      </c>
      <c r="CQ20" s="93">
        <v>0</v>
      </c>
      <c r="CR20" s="100"/>
      <c r="CS20" s="95">
        <v>474610.50999999989</v>
      </c>
      <c r="CT20" s="95">
        <v>137592.71</v>
      </c>
      <c r="CU20" s="96">
        <v>474610.51</v>
      </c>
      <c r="CV20" s="96">
        <v>137592.71</v>
      </c>
      <c r="CW20" s="96">
        <v>0</v>
      </c>
      <c r="CX20" s="95">
        <v>0</v>
      </c>
      <c r="CY20" s="95">
        <v>612203.22</v>
      </c>
      <c r="CZ20" s="97">
        <v>20250.699999999983</v>
      </c>
      <c r="DA20" s="95">
        <v>20250.699999999983</v>
      </c>
      <c r="DB20" s="95">
        <v>0</v>
      </c>
      <c r="DC20" s="95">
        <v>-1.0477378964424133E-9</v>
      </c>
      <c r="DD20" s="96"/>
      <c r="DF20" s="95">
        <v>0</v>
      </c>
      <c r="DI20" s="95">
        <v>474610.50999999989</v>
      </c>
      <c r="DJ20" s="95">
        <v>137592.71</v>
      </c>
      <c r="DK20" s="96">
        <v>474610.51</v>
      </c>
      <c r="DL20" s="96">
        <v>137592.71</v>
      </c>
      <c r="DQ20" s="88">
        <v>3302010</v>
      </c>
      <c r="DT20" s="95">
        <f t="shared" si="2"/>
        <v>3096306.8099999996</v>
      </c>
      <c r="DU20" s="95">
        <f t="shared" si="3"/>
        <v>3067813.2000000007</v>
      </c>
      <c r="DV20" s="95">
        <f t="shared" si="4"/>
        <v>28493.609999998938</v>
      </c>
      <c r="DW20" s="95">
        <f t="shared" si="5"/>
        <v>29684.409999999982</v>
      </c>
      <c r="DX20" s="95">
        <f t="shared" si="6"/>
        <v>0</v>
      </c>
      <c r="DY20" s="95">
        <f t="shared" si="9"/>
        <v>29684.409999999982</v>
      </c>
      <c r="EA20" s="95">
        <f t="shared" si="10"/>
        <v>446116.9</v>
      </c>
      <c r="EB20" s="95">
        <f t="shared" si="11"/>
        <v>28493.609999998938</v>
      </c>
      <c r="EC20" s="95">
        <f t="shared" si="12"/>
        <v>474610.50999999896</v>
      </c>
      <c r="ED20" s="95">
        <v>474610.50999999896</v>
      </c>
      <c r="EE20" s="95">
        <f t="shared" si="7"/>
        <v>0</v>
      </c>
      <c r="EF20" s="95"/>
      <c r="EG20" s="95">
        <f t="shared" si="13"/>
        <v>107908.3</v>
      </c>
      <c r="EH20" s="95">
        <f t="shared" si="8"/>
        <v>29684.409999999982</v>
      </c>
      <c r="EI20" s="95">
        <f t="shared" si="14"/>
        <v>137592.71</v>
      </c>
      <c r="EJ20" s="97">
        <v>137592.71</v>
      </c>
      <c r="EK20" s="95">
        <f t="shared" si="15"/>
        <v>0</v>
      </c>
    </row>
    <row r="21" spans="1:141" s="87" customFormat="1" x14ac:dyDescent="0.35">
      <c r="A21" s="87" t="str">
        <f>_xlfn.XLOOKUP(C21,[1]Adjustment!B:B,[1]Adjustment!H:H,0,0)</f>
        <v>Agree</v>
      </c>
      <c r="B21" s="87">
        <v>2017</v>
      </c>
      <c r="C21" s="88">
        <v>3302017</v>
      </c>
      <c r="D21" s="98" t="s">
        <v>158</v>
      </c>
      <c r="E21" s="89" t="s">
        <v>159</v>
      </c>
      <c r="F21" s="101"/>
      <c r="G21" s="99"/>
      <c r="H21" s="88"/>
      <c r="I21" s="88"/>
      <c r="J21" s="88"/>
      <c r="K21" s="88"/>
      <c r="L21" s="88"/>
      <c r="M21" s="88"/>
      <c r="N21" s="88"/>
      <c r="O21" s="88"/>
      <c r="P21" s="88"/>
      <c r="Q21" s="88"/>
      <c r="R21" s="88"/>
      <c r="S21" s="92"/>
      <c r="T21" s="92"/>
      <c r="U21" s="92"/>
      <c r="V21" s="92"/>
      <c r="W21" s="92"/>
      <c r="X21" s="92"/>
      <c r="Y21" s="93">
        <v>13071</v>
      </c>
      <c r="Z21" s="93"/>
      <c r="AA21" s="93">
        <v>16408.27</v>
      </c>
      <c r="AB21" s="93">
        <v>1602033.29</v>
      </c>
      <c r="AC21" s="93">
        <v>0</v>
      </c>
      <c r="AD21" s="93">
        <v>124436.08</v>
      </c>
      <c r="AE21" s="93">
        <v>0</v>
      </c>
      <c r="AF21" s="93">
        <v>118930.5</v>
      </c>
      <c r="AG21" s="93">
        <v>2400</v>
      </c>
      <c r="AH21" s="93">
        <v>0</v>
      </c>
      <c r="AI21" s="93">
        <v>0</v>
      </c>
      <c r="AJ21" s="93">
        <v>18469.289999999302</v>
      </c>
      <c r="AK21" s="93">
        <v>0</v>
      </c>
      <c r="AL21" s="93">
        <v>0</v>
      </c>
      <c r="AM21" s="93">
        <v>0</v>
      </c>
      <c r="AN21" s="93">
        <v>3026.05</v>
      </c>
      <c r="AO21" s="93">
        <v>0</v>
      </c>
      <c r="AP21" s="93">
        <v>0</v>
      </c>
      <c r="AQ21" s="93">
        <v>0</v>
      </c>
      <c r="AR21" s="93">
        <v>0</v>
      </c>
      <c r="AS21" s="93">
        <v>0</v>
      </c>
      <c r="AT21" s="93">
        <v>0</v>
      </c>
      <c r="AU21" s="93">
        <v>13594.97</v>
      </c>
      <c r="AV21" s="93">
        <v>83446</v>
      </c>
      <c r="AW21" s="93">
        <v>847416.54999999946</v>
      </c>
      <c r="AX21" s="93">
        <v>18014.32</v>
      </c>
      <c r="AY21" s="93">
        <v>167371.51</v>
      </c>
      <c r="AZ21" s="93">
        <v>0</v>
      </c>
      <c r="BA21" s="93">
        <v>160186.87</v>
      </c>
      <c r="BB21" s="93">
        <v>0</v>
      </c>
      <c r="BC21" s="93">
        <v>34562.410000000003</v>
      </c>
      <c r="BD21" s="93">
        <v>496.5</v>
      </c>
      <c r="BE21" s="93">
        <v>1314.76</v>
      </c>
      <c r="BF21" s="93">
        <v>0</v>
      </c>
      <c r="BG21" s="93">
        <v>0</v>
      </c>
      <c r="BH21" s="93">
        <v>356448.25</v>
      </c>
      <c r="BI21" s="93">
        <v>0</v>
      </c>
      <c r="BJ21" s="93">
        <v>0</v>
      </c>
      <c r="BK21" s="93">
        <v>0</v>
      </c>
      <c r="BL21" s="93">
        <v>2740</v>
      </c>
      <c r="BM21" s="93">
        <v>0</v>
      </c>
      <c r="BN21" s="93">
        <v>0</v>
      </c>
      <c r="BO21" s="93">
        <v>31588.21</v>
      </c>
      <c r="BP21" s="93">
        <v>200.44</v>
      </c>
      <c r="BQ21" s="93">
        <v>96.16</v>
      </c>
      <c r="BR21" s="93">
        <v>20566.099999999999</v>
      </c>
      <c r="BS21" s="93">
        <v>4895</v>
      </c>
      <c r="BT21" s="93">
        <v>0</v>
      </c>
      <c r="BU21" s="93">
        <v>108513.17</v>
      </c>
      <c r="BV21" s="93">
        <v>147038.66</v>
      </c>
      <c r="BW21" s="93">
        <v>0</v>
      </c>
      <c r="BX21" s="93">
        <v>69815.27</v>
      </c>
      <c r="BY21" s="93">
        <v>0</v>
      </c>
      <c r="BZ21" s="93">
        <v>0</v>
      </c>
      <c r="CA21" s="93"/>
      <c r="CB21" s="93">
        <v>0</v>
      </c>
      <c r="CC21" s="93">
        <v>0</v>
      </c>
      <c r="CD21" s="93">
        <v>7037.5</v>
      </c>
      <c r="CE21" s="93">
        <v>0</v>
      </c>
      <c r="CF21" s="93">
        <v>0</v>
      </c>
      <c r="CG21" s="93">
        <v>0</v>
      </c>
      <c r="CH21" s="93">
        <v>0</v>
      </c>
      <c r="CI21" s="93">
        <v>8365</v>
      </c>
      <c r="CJ21" s="93">
        <v>0</v>
      </c>
      <c r="CK21" s="93"/>
      <c r="CL21" s="93">
        <v>8143.0000000002328</v>
      </c>
      <c r="CM21" s="93"/>
      <c r="CN21" s="93">
        <v>15080.77</v>
      </c>
      <c r="CO21" s="93">
        <v>0</v>
      </c>
      <c r="CP21" s="93">
        <v>0</v>
      </c>
      <c r="CQ21" s="93">
        <v>0</v>
      </c>
      <c r="CR21" s="100"/>
      <c r="CS21" s="95">
        <v>-22667.010000000009</v>
      </c>
      <c r="CT21" s="95">
        <v>0</v>
      </c>
      <c r="CU21" s="96">
        <v>-4123.57</v>
      </c>
      <c r="CV21" s="96">
        <v>-18543.439999999999</v>
      </c>
      <c r="CW21" s="96">
        <v>-18543.44000000001</v>
      </c>
      <c r="CX21" s="95">
        <v>-18543.439999999999</v>
      </c>
      <c r="CY21" s="95">
        <v>-22667.01</v>
      </c>
      <c r="CZ21" s="97">
        <v>0</v>
      </c>
      <c r="DA21" s="95">
        <v>0</v>
      </c>
      <c r="DB21" s="95">
        <v>5340.5700000006982</v>
      </c>
      <c r="DC21" s="95">
        <v>0</v>
      </c>
      <c r="DD21" s="96">
        <v>-18543.439999999999</v>
      </c>
      <c r="DF21" s="95">
        <v>0</v>
      </c>
      <c r="DI21" s="95">
        <v>-22667.010000000009</v>
      </c>
      <c r="DJ21" s="95">
        <v>0</v>
      </c>
      <c r="DK21" s="96">
        <v>-4123.57</v>
      </c>
      <c r="DL21" s="96">
        <v>-18543.439999999999</v>
      </c>
      <c r="DQ21" s="88">
        <v>3302017</v>
      </c>
      <c r="DT21" s="95">
        <f t="shared" si="2"/>
        <v>1966336.1799999995</v>
      </c>
      <c r="DU21" s="95">
        <f t="shared" si="3"/>
        <v>1971264.1799999992</v>
      </c>
      <c r="DV21" s="95">
        <f t="shared" si="4"/>
        <v>-4927.9999999997672</v>
      </c>
      <c r="DW21" s="95">
        <f t="shared" si="5"/>
        <v>7037.5</v>
      </c>
      <c r="DX21" s="95">
        <f t="shared" si="6"/>
        <v>8365</v>
      </c>
      <c r="DY21" s="95">
        <f t="shared" si="9"/>
        <v>-1327.5</v>
      </c>
      <c r="EA21" s="95">
        <f t="shared" si="10"/>
        <v>13071</v>
      </c>
      <c r="EB21" s="95">
        <f t="shared" si="11"/>
        <v>-4927.9999999997672</v>
      </c>
      <c r="EC21" s="95">
        <f t="shared" si="12"/>
        <v>8143.0000000002328</v>
      </c>
      <c r="ED21" s="95">
        <v>8143.0000000004657</v>
      </c>
      <c r="EE21" s="95">
        <f t="shared" si="7"/>
        <v>-2.3283064365386963E-10</v>
      </c>
      <c r="EF21" s="95"/>
      <c r="EG21" s="95">
        <f t="shared" si="13"/>
        <v>16408.27</v>
      </c>
      <c r="EH21" s="95">
        <f t="shared" si="8"/>
        <v>-1327.5</v>
      </c>
      <c r="EI21" s="95">
        <f t="shared" si="14"/>
        <v>15080.77</v>
      </c>
      <c r="EJ21" s="97">
        <v>15080.77</v>
      </c>
      <c r="EK21" s="95">
        <f t="shared" si="15"/>
        <v>0</v>
      </c>
    </row>
    <row r="22" spans="1:141" s="87" customFormat="1" x14ac:dyDescent="0.35">
      <c r="A22" s="87" t="str">
        <f>_xlfn.XLOOKUP(C22,[1]Adjustment!B:B,[1]Adjustment!H:H,0,0)</f>
        <v>Agree</v>
      </c>
      <c r="B22" s="87">
        <v>2019</v>
      </c>
      <c r="C22" s="88">
        <v>3302019</v>
      </c>
      <c r="D22" s="98" t="s">
        <v>160</v>
      </c>
      <c r="E22" s="89" t="s">
        <v>161</v>
      </c>
      <c r="F22" s="101"/>
      <c r="G22" s="99"/>
      <c r="H22" s="88"/>
      <c r="I22" s="88"/>
      <c r="J22" s="88"/>
      <c r="K22" s="88"/>
      <c r="L22" s="88"/>
      <c r="M22" s="88"/>
      <c r="N22" s="88"/>
      <c r="O22" s="88"/>
      <c r="P22" s="88"/>
      <c r="Q22" s="88"/>
      <c r="R22" s="88"/>
      <c r="S22" s="92"/>
      <c r="T22" s="92"/>
      <c r="U22" s="92"/>
      <c r="V22" s="92"/>
      <c r="W22" s="92"/>
      <c r="X22" s="92"/>
      <c r="Y22" s="93">
        <v>60856.94</v>
      </c>
      <c r="Z22" s="93"/>
      <c r="AA22" s="93">
        <v>28494</v>
      </c>
      <c r="AB22" s="93">
        <v>2162826.98</v>
      </c>
      <c r="AC22" s="93">
        <v>0</v>
      </c>
      <c r="AD22" s="93">
        <v>129365.61</v>
      </c>
      <c r="AE22" s="93">
        <v>0</v>
      </c>
      <c r="AF22" s="93">
        <v>312040</v>
      </c>
      <c r="AG22" s="93">
        <v>21750.79</v>
      </c>
      <c r="AH22" s="93">
        <v>0</v>
      </c>
      <c r="AI22" s="93">
        <v>0</v>
      </c>
      <c r="AJ22" s="93">
        <v>58954.79</v>
      </c>
      <c r="AK22" s="93">
        <v>0</v>
      </c>
      <c r="AL22" s="93">
        <v>0</v>
      </c>
      <c r="AM22" s="93">
        <v>0</v>
      </c>
      <c r="AN22" s="93">
        <v>44076.72</v>
      </c>
      <c r="AO22" s="93">
        <v>0</v>
      </c>
      <c r="AP22" s="93">
        <v>0</v>
      </c>
      <c r="AQ22" s="93">
        <v>0</v>
      </c>
      <c r="AR22" s="93">
        <v>0</v>
      </c>
      <c r="AS22" s="93">
        <v>0</v>
      </c>
      <c r="AT22" s="93">
        <v>0</v>
      </c>
      <c r="AU22" s="93">
        <v>20619.259999999998</v>
      </c>
      <c r="AV22" s="93">
        <v>55305</v>
      </c>
      <c r="AW22" s="93">
        <v>1260807.8800000004</v>
      </c>
      <c r="AX22" s="93">
        <v>0</v>
      </c>
      <c r="AY22" s="93">
        <v>272325.71000000002</v>
      </c>
      <c r="AZ22" s="93">
        <v>15133.46</v>
      </c>
      <c r="BA22" s="93">
        <v>330681.09999999998</v>
      </c>
      <c r="BB22" s="93">
        <v>0</v>
      </c>
      <c r="BC22" s="93">
        <v>67352.41</v>
      </c>
      <c r="BD22" s="93">
        <v>448.84</v>
      </c>
      <c r="BE22" s="93">
        <v>3390.58</v>
      </c>
      <c r="BF22" s="93">
        <v>0</v>
      </c>
      <c r="BG22" s="93">
        <v>0</v>
      </c>
      <c r="BH22" s="93">
        <v>33818.370000000003</v>
      </c>
      <c r="BI22" s="93">
        <v>3993.35</v>
      </c>
      <c r="BJ22" s="93">
        <v>468.18</v>
      </c>
      <c r="BK22" s="93">
        <v>5703.94</v>
      </c>
      <c r="BL22" s="93">
        <v>27504.02</v>
      </c>
      <c r="BM22" s="93">
        <v>0</v>
      </c>
      <c r="BN22" s="93">
        <v>4227.8599999999997</v>
      </c>
      <c r="BO22" s="93">
        <v>158361.80999999971</v>
      </c>
      <c r="BP22" s="93">
        <v>115</v>
      </c>
      <c r="BQ22" s="93">
        <v>72.12</v>
      </c>
      <c r="BR22" s="93">
        <v>167328.82999999999</v>
      </c>
      <c r="BS22" s="93">
        <v>4895</v>
      </c>
      <c r="BT22" s="93">
        <v>0</v>
      </c>
      <c r="BU22" s="93">
        <v>116794.53</v>
      </c>
      <c r="BV22" s="93">
        <v>6541.84</v>
      </c>
      <c r="BW22" s="93">
        <v>210</v>
      </c>
      <c r="BX22" s="93">
        <v>190733.37</v>
      </c>
      <c r="BY22" s="93">
        <v>0</v>
      </c>
      <c r="BZ22" s="93">
        <v>0</v>
      </c>
      <c r="CA22" s="93"/>
      <c r="CB22" s="93">
        <v>0</v>
      </c>
      <c r="CC22" s="93">
        <v>0</v>
      </c>
      <c r="CD22" s="93">
        <v>8680</v>
      </c>
      <c r="CE22" s="93">
        <v>0</v>
      </c>
      <c r="CF22" s="93">
        <v>0</v>
      </c>
      <c r="CG22" s="93">
        <v>0</v>
      </c>
      <c r="CH22" s="93">
        <v>0</v>
      </c>
      <c r="CI22" s="93">
        <v>35918.76</v>
      </c>
      <c r="CJ22" s="93">
        <v>0</v>
      </c>
      <c r="CK22" s="93"/>
      <c r="CL22" s="93">
        <v>194887.88999999966</v>
      </c>
      <c r="CM22" s="93"/>
      <c r="CN22" s="93">
        <v>1255.239999999998</v>
      </c>
      <c r="CO22" s="93">
        <v>0</v>
      </c>
      <c r="CP22" s="93">
        <v>0</v>
      </c>
      <c r="CQ22" s="93">
        <v>0</v>
      </c>
      <c r="CR22" s="100"/>
      <c r="CS22" s="95">
        <v>180175.38000000041</v>
      </c>
      <c r="CT22" s="95">
        <v>0</v>
      </c>
      <c r="CU22" s="96">
        <v>194887.89</v>
      </c>
      <c r="CV22" s="96">
        <v>-14712.51</v>
      </c>
      <c r="CW22" s="96">
        <v>-14712.509999999602</v>
      </c>
      <c r="CX22" s="95">
        <v>-14712.51</v>
      </c>
      <c r="CY22" s="95">
        <v>180175.38</v>
      </c>
      <c r="CZ22" s="97">
        <v>0</v>
      </c>
      <c r="DA22" s="95">
        <v>0</v>
      </c>
      <c r="DB22" s="95">
        <v>0</v>
      </c>
      <c r="DC22" s="95">
        <v>-2.9103830456733704E-10</v>
      </c>
      <c r="DD22" s="96">
        <v>-14712.51</v>
      </c>
      <c r="DF22" s="95">
        <v>3.9835867937654257E-10</v>
      </c>
      <c r="DI22" s="95">
        <v>180175.38000000041</v>
      </c>
      <c r="DJ22" s="95">
        <v>0</v>
      </c>
      <c r="DK22" s="96">
        <v>194887.89</v>
      </c>
      <c r="DL22" s="96">
        <v>-14712.51</v>
      </c>
      <c r="DQ22" s="88">
        <v>3302019</v>
      </c>
      <c r="DT22" s="95">
        <f t="shared" si="2"/>
        <v>2804939.15</v>
      </c>
      <c r="DU22" s="95">
        <f t="shared" si="3"/>
        <v>2670908.2000000002</v>
      </c>
      <c r="DV22" s="95">
        <f t="shared" si="4"/>
        <v>134030.94999999972</v>
      </c>
      <c r="DW22" s="95">
        <f t="shared" si="5"/>
        <v>8680</v>
      </c>
      <c r="DX22" s="95">
        <f t="shared" si="6"/>
        <v>35918.76</v>
      </c>
      <c r="DY22" s="95">
        <f t="shared" si="9"/>
        <v>-27238.760000000002</v>
      </c>
      <c r="EA22" s="95">
        <f t="shared" si="10"/>
        <v>60856.94</v>
      </c>
      <c r="EB22" s="95">
        <f t="shared" si="11"/>
        <v>134030.94999999972</v>
      </c>
      <c r="EC22" s="95">
        <f t="shared" si="12"/>
        <v>194887.88999999972</v>
      </c>
      <c r="ED22" s="95">
        <v>194887.88999999972</v>
      </c>
      <c r="EE22" s="95">
        <f t="shared" si="7"/>
        <v>0</v>
      </c>
      <c r="EF22" s="95"/>
      <c r="EG22" s="95">
        <f t="shared" si="13"/>
        <v>28494</v>
      </c>
      <c r="EH22" s="95">
        <f t="shared" si="8"/>
        <v>-27238.760000000002</v>
      </c>
      <c r="EI22" s="95">
        <f t="shared" si="14"/>
        <v>1255.239999999998</v>
      </c>
      <c r="EJ22" s="97">
        <v>1255.239999999998</v>
      </c>
      <c r="EK22" s="95">
        <f t="shared" si="15"/>
        <v>0</v>
      </c>
    </row>
    <row r="23" spans="1:141" s="87" customFormat="1" x14ac:dyDescent="0.35">
      <c r="A23" s="87" t="str">
        <f>_xlfn.XLOOKUP(C23,[1]Adjustment!B:B,[1]Adjustment!H:H,0,0)</f>
        <v>Agree</v>
      </c>
      <c r="B23" s="87">
        <v>2055</v>
      </c>
      <c r="C23" s="88">
        <v>3302055</v>
      </c>
      <c r="D23" s="98" t="s">
        <v>162</v>
      </c>
      <c r="E23" s="89" t="s">
        <v>163</v>
      </c>
      <c r="F23" s="101"/>
      <c r="G23" s="99"/>
      <c r="H23" s="88"/>
      <c r="I23" s="88"/>
      <c r="J23" s="88"/>
      <c r="K23" s="88"/>
      <c r="L23" s="88"/>
      <c r="M23" s="88"/>
      <c r="N23" s="88"/>
      <c r="O23" s="88"/>
      <c r="P23" s="88"/>
      <c r="Q23" s="88"/>
      <c r="R23" s="88"/>
      <c r="S23" s="92"/>
      <c r="T23" s="92"/>
      <c r="U23" s="92"/>
      <c r="V23" s="92"/>
      <c r="W23" s="92"/>
      <c r="X23" s="92"/>
      <c r="Y23" s="93">
        <v>394596.96</v>
      </c>
      <c r="Z23" s="93"/>
      <c r="AA23" s="93">
        <v>45303.93</v>
      </c>
      <c r="AB23" s="93">
        <v>2200339.79</v>
      </c>
      <c r="AC23" s="93">
        <v>0</v>
      </c>
      <c r="AD23" s="93">
        <v>68134.16</v>
      </c>
      <c r="AE23" s="93">
        <v>0</v>
      </c>
      <c r="AF23" s="93">
        <v>174556.5</v>
      </c>
      <c r="AG23" s="93">
        <v>3456.93</v>
      </c>
      <c r="AH23" s="93">
        <v>0</v>
      </c>
      <c r="AI23" s="93">
        <v>0</v>
      </c>
      <c r="AJ23" s="93">
        <v>256551.91</v>
      </c>
      <c r="AK23" s="93">
        <v>31091.4</v>
      </c>
      <c r="AL23" s="93">
        <v>0</v>
      </c>
      <c r="AM23" s="93">
        <v>0</v>
      </c>
      <c r="AN23" s="93">
        <v>49656.639999999999</v>
      </c>
      <c r="AO23" s="93">
        <v>0</v>
      </c>
      <c r="AP23" s="93">
        <v>0</v>
      </c>
      <c r="AQ23" s="93">
        <v>0</v>
      </c>
      <c r="AR23" s="93">
        <v>0</v>
      </c>
      <c r="AS23" s="93">
        <v>0</v>
      </c>
      <c r="AT23" s="93">
        <v>0</v>
      </c>
      <c r="AU23" s="93">
        <v>10419.5</v>
      </c>
      <c r="AV23" s="93">
        <v>89736</v>
      </c>
      <c r="AW23" s="93">
        <v>1256197.92</v>
      </c>
      <c r="AX23" s="93">
        <v>0</v>
      </c>
      <c r="AY23" s="93">
        <v>344424.31</v>
      </c>
      <c r="AZ23" s="93">
        <v>106.62</v>
      </c>
      <c r="BA23" s="93">
        <v>414293.66</v>
      </c>
      <c r="BB23" s="93">
        <v>0</v>
      </c>
      <c r="BC23" s="93">
        <v>121970.88</v>
      </c>
      <c r="BD23" s="93">
        <v>61.52</v>
      </c>
      <c r="BE23" s="93">
        <v>10018.469999999999</v>
      </c>
      <c r="BF23" s="93">
        <v>0</v>
      </c>
      <c r="BG23" s="93">
        <v>0</v>
      </c>
      <c r="BH23" s="93">
        <v>23179.47</v>
      </c>
      <c r="BI23" s="93">
        <v>0</v>
      </c>
      <c r="BJ23" s="93">
        <v>36149.47</v>
      </c>
      <c r="BK23" s="93">
        <v>4747.22</v>
      </c>
      <c r="BL23" s="93">
        <v>39284.28</v>
      </c>
      <c r="BM23" s="93">
        <v>27014.400000000001</v>
      </c>
      <c r="BN23" s="93">
        <v>2202.34</v>
      </c>
      <c r="BO23" s="93">
        <v>133914.29000000007</v>
      </c>
      <c r="BP23" s="93">
        <v>22946.89</v>
      </c>
      <c r="BQ23" s="93">
        <v>0</v>
      </c>
      <c r="BR23" s="93">
        <v>28968.26</v>
      </c>
      <c r="BS23" s="93">
        <v>4895</v>
      </c>
      <c r="BT23" s="93">
        <v>3836</v>
      </c>
      <c r="BU23" s="93">
        <v>122710.05</v>
      </c>
      <c r="BV23" s="93">
        <v>58771.21</v>
      </c>
      <c r="BW23" s="93">
        <v>0</v>
      </c>
      <c r="BX23" s="93">
        <v>160082.22</v>
      </c>
      <c r="BY23" s="93">
        <v>0</v>
      </c>
      <c r="BZ23" s="93">
        <v>0</v>
      </c>
      <c r="CA23" s="93"/>
      <c r="CB23" s="93">
        <v>0</v>
      </c>
      <c r="CC23" s="93">
        <v>0</v>
      </c>
      <c r="CD23" s="93">
        <v>8961.0300000000007</v>
      </c>
      <c r="CE23" s="93">
        <v>0</v>
      </c>
      <c r="CF23" s="93">
        <v>0</v>
      </c>
      <c r="CG23" s="93">
        <v>0</v>
      </c>
      <c r="CH23" s="93">
        <v>0</v>
      </c>
      <c r="CI23" s="93">
        <v>0</v>
      </c>
      <c r="CJ23" s="93">
        <v>48303.93</v>
      </c>
      <c r="CK23" s="93"/>
      <c r="CL23" s="93">
        <v>462765.31000000006</v>
      </c>
      <c r="CM23" s="93"/>
      <c r="CN23" s="93">
        <v>5961.0299999999988</v>
      </c>
      <c r="CO23" s="93">
        <v>0</v>
      </c>
      <c r="CP23" s="93">
        <v>0</v>
      </c>
      <c r="CQ23" s="93">
        <v>0</v>
      </c>
      <c r="CR23" s="100"/>
      <c r="CS23" s="95">
        <v>462765.31000000011</v>
      </c>
      <c r="CT23" s="95">
        <v>5961.0299999999988</v>
      </c>
      <c r="CU23" s="96">
        <v>462765.31</v>
      </c>
      <c r="CV23" s="96">
        <v>5961.03</v>
      </c>
      <c r="CW23" s="96">
        <v>0</v>
      </c>
      <c r="CX23" s="95">
        <v>0</v>
      </c>
      <c r="CY23" s="95">
        <v>468726.34</v>
      </c>
      <c r="CZ23" s="97">
        <v>0</v>
      </c>
      <c r="DA23" s="95">
        <v>0</v>
      </c>
      <c r="DB23" s="95">
        <v>0</v>
      </c>
      <c r="DC23" s="95">
        <v>-3.9999999920837581E-2</v>
      </c>
      <c r="DD23" s="96"/>
      <c r="DF23" s="95">
        <v>8.6401996668428183E-11</v>
      </c>
      <c r="DI23" s="95">
        <v>462765.31000000011</v>
      </c>
      <c r="DJ23" s="95">
        <v>5961.0299999999988</v>
      </c>
      <c r="DK23" s="96">
        <v>462765.31</v>
      </c>
      <c r="DL23" s="96">
        <v>5961.03</v>
      </c>
      <c r="DQ23" s="88">
        <v>3302055</v>
      </c>
      <c r="DT23" s="95">
        <f t="shared" si="2"/>
        <v>2883942.8300000005</v>
      </c>
      <c r="DU23" s="95">
        <f t="shared" si="3"/>
        <v>2815774.4800000004</v>
      </c>
      <c r="DV23" s="95">
        <f t="shared" si="4"/>
        <v>68168.350000000093</v>
      </c>
      <c r="DW23" s="95">
        <f t="shared" si="5"/>
        <v>8961.0300000000007</v>
      </c>
      <c r="DX23" s="95">
        <f t="shared" si="6"/>
        <v>48303.93</v>
      </c>
      <c r="DY23" s="95">
        <f t="shared" si="9"/>
        <v>-39342.9</v>
      </c>
      <c r="EA23" s="95">
        <f t="shared" si="10"/>
        <v>394596.96</v>
      </c>
      <c r="EB23" s="95">
        <f t="shared" si="11"/>
        <v>68168.350000000093</v>
      </c>
      <c r="EC23" s="95">
        <f t="shared" si="12"/>
        <v>462765.31000000011</v>
      </c>
      <c r="ED23" s="95">
        <v>462765.31000000011</v>
      </c>
      <c r="EE23" s="95">
        <f t="shared" si="7"/>
        <v>0</v>
      </c>
      <c r="EF23" s="95"/>
      <c r="EG23" s="95">
        <f t="shared" si="13"/>
        <v>45303.93</v>
      </c>
      <c r="EH23" s="95">
        <f t="shared" si="8"/>
        <v>-39342.9</v>
      </c>
      <c r="EI23" s="95">
        <f t="shared" si="14"/>
        <v>5961.0299999999988</v>
      </c>
      <c r="EJ23" s="97">
        <v>5961.0299999999988</v>
      </c>
      <c r="EK23" s="95">
        <f t="shared" si="15"/>
        <v>0</v>
      </c>
    </row>
    <row r="24" spans="1:141" s="87" customFormat="1" x14ac:dyDescent="0.35">
      <c r="A24" s="87" t="str">
        <f>_xlfn.XLOOKUP(C24,[1]Adjustment!B:B,[1]Adjustment!H:H,0,0)</f>
        <v>Agree</v>
      </c>
      <c r="B24" s="87">
        <v>2062</v>
      </c>
      <c r="C24" s="88">
        <v>3302062</v>
      </c>
      <c r="D24" s="98" t="s">
        <v>164</v>
      </c>
      <c r="E24" s="89" t="s">
        <v>165</v>
      </c>
      <c r="F24" s="101"/>
      <c r="G24" s="99"/>
      <c r="H24" s="88"/>
      <c r="I24" s="88"/>
      <c r="J24" s="88"/>
      <c r="K24" s="88"/>
      <c r="L24" s="88"/>
      <c r="M24" s="88"/>
      <c r="N24" s="88"/>
      <c r="O24" s="88"/>
      <c r="P24" s="88"/>
      <c r="Q24" s="88"/>
      <c r="R24" s="88"/>
      <c r="S24" s="92"/>
      <c r="T24" s="92"/>
      <c r="U24" s="92"/>
      <c r="V24" s="92"/>
      <c r="W24" s="92"/>
      <c r="X24" s="92"/>
      <c r="Y24" s="93">
        <v>284338.86</v>
      </c>
      <c r="Z24" s="93"/>
      <c r="AA24" s="93">
        <v>26022.75</v>
      </c>
      <c r="AB24" s="93">
        <v>2448308.2400000002</v>
      </c>
      <c r="AC24" s="93">
        <v>0</v>
      </c>
      <c r="AD24" s="93">
        <v>100212.5</v>
      </c>
      <c r="AE24" s="93">
        <v>0</v>
      </c>
      <c r="AF24" s="93">
        <v>270205.5</v>
      </c>
      <c r="AG24" s="93">
        <v>11093.86</v>
      </c>
      <c r="AH24" s="93">
        <v>0</v>
      </c>
      <c r="AI24" s="93">
        <v>0</v>
      </c>
      <c r="AJ24" s="93">
        <v>23941.17</v>
      </c>
      <c r="AK24" s="93">
        <v>0</v>
      </c>
      <c r="AL24" s="93">
        <v>0</v>
      </c>
      <c r="AM24" s="93">
        <v>0</v>
      </c>
      <c r="AN24" s="93">
        <v>12437.36</v>
      </c>
      <c r="AO24" s="93">
        <v>0</v>
      </c>
      <c r="AP24" s="93">
        <v>0</v>
      </c>
      <c r="AQ24" s="93">
        <v>0</v>
      </c>
      <c r="AR24" s="93">
        <v>0</v>
      </c>
      <c r="AS24" s="93">
        <v>0</v>
      </c>
      <c r="AT24" s="93">
        <v>0</v>
      </c>
      <c r="AU24" s="93">
        <v>26087.119999999999</v>
      </c>
      <c r="AV24" s="93">
        <v>62066</v>
      </c>
      <c r="AW24" s="93">
        <v>1124518.94</v>
      </c>
      <c r="AX24" s="93">
        <v>0</v>
      </c>
      <c r="AY24" s="93">
        <v>364865.69</v>
      </c>
      <c r="AZ24" s="93">
        <v>81627.03</v>
      </c>
      <c r="BA24" s="93">
        <v>294313.8</v>
      </c>
      <c r="BB24" s="93">
        <v>0</v>
      </c>
      <c r="BC24" s="93">
        <v>65034.63</v>
      </c>
      <c r="BD24" s="93">
        <v>1581.47</v>
      </c>
      <c r="BE24" s="93">
        <v>9380.33</v>
      </c>
      <c r="BF24" s="93">
        <v>0</v>
      </c>
      <c r="BG24" s="93">
        <v>0</v>
      </c>
      <c r="BH24" s="93">
        <v>89632.31</v>
      </c>
      <c r="BI24" s="93">
        <v>1906.5</v>
      </c>
      <c r="BJ24" s="93">
        <v>4256.18</v>
      </c>
      <c r="BK24" s="93">
        <v>8503.68</v>
      </c>
      <c r="BL24" s="93">
        <v>55326.22</v>
      </c>
      <c r="BM24" s="93">
        <v>0</v>
      </c>
      <c r="BN24" s="93">
        <v>8010.4</v>
      </c>
      <c r="BO24" s="93">
        <v>93756.780000000377</v>
      </c>
      <c r="BP24" s="93">
        <v>2708.14</v>
      </c>
      <c r="BQ24" s="93">
        <v>504.84</v>
      </c>
      <c r="BR24" s="93">
        <v>37462.879999999997</v>
      </c>
      <c r="BS24" s="93">
        <v>9020</v>
      </c>
      <c r="BT24" s="93">
        <v>0</v>
      </c>
      <c r="BU24" s="93">
        <v>163602.06</v>
      </c>
      <c r="BV24" s="93">
        <v>311899.15999999997</v>
      </c>
      <c r="BW24" s="93">
        <v>3750</v>
      </c>
      <c r="BX24" s="93">
        <v>192603.81</v>
      </c>
      <c r="BY24" s="93">
        <v>0</v>
      </c>
      <c r="BZ24" s="93">
        <v>0</v>
      </c>
      <c r="CA24" s="93"/>
      <c r="CB24" s="93">
        <v>0</v>
      </c>
      <c r="CC24" s="93">
        <v>0</v>
      </c>
      <c r="CD24" s="93">
        <v>8896</v>
      </c>
      <c r="CE24" s="93">
        <v>0</v>
      </c>
      <c r="CF24" s="93">
        <v>0</v>
      </c>
      <c r="CG24" s="93">
        <v>0</v>
      </c>
      <c r="CH24" s="93">
        <v>0</v>
      </c>
      <c r="CI24" s="93">
        <v>18085.490000000002</v>
      </c>
      <c r="CJ24" s="93">
        <v>0</v>
      </c>
      <c r="CK24" s="93"/>
      <c r="CL24" s="93">
        <v>314425.75999999978</v>
      </c>
      <c r="CM24" s="93"/>
      <c r="CN24" s="93">
        <v>16833.259999999998</v>
      </c>
      <c r="CO24" s="93">
        <v>0</v>
      </c>
      <c r="CP24" s="93">
        <v>0</v>
      </c>
      <c r="CQ24" s="93">
        <v>0</v>
      </c>
      <c r="CR24" s="100"/>
      <c r="CS24" s="95">
        <v>252030.06999999995</v>
      </c>
      <c r="CT24" s="95">
        <v>0</v>
      </c>
      <c r="CU24" s="96">
        <v>278052.82</v>
      </c>
      <c r="CV24" s="96">
        <v>-26022.75</v>
      </c>
      <c r="CW24" s="96">
        <v>-26022.750000000058</v>
      </c>
      <c r="CX24" s="95">
        <v>-26022.75</v>
      </c>
      <c r="CY24" s="95">
        <v>252030.07</v>
      </c>
      <c r="CZ24" s="97">
        <v>0</v>
      </c>
      <c r="DA24" s="95">
        <v>0</v>
      </c>
      <c r="DB24" s="95">
        <v>0</v>
      </c>
      <c r="DC24" s="95">
        <v>-3.9999999629799277E-2</v>
      </c>
      <c r="DD24" s="96">
        <v>-26022.75</v>
      </c>
      <c r="DF24" s="95">
        <v>-5.8207660913467407E-11</v>
      </c>
      <c r="DI24" s="95">
        <v>252030.06999999995</v>
      </c>
      <c r="DJ24" s="95">
        <v>0</v>
      </c>
      <c r="DK24" s="96">
        <v>278052.82</v>
      </c>
      <c r="DL24" s="96">
        <v>-26022.75</v>
      </c>
      <c r="DQ24" s="88">
        <v>3302062</v>
      </c>
      <c r="DT24" s="95">
        <f t="shared" si="2"/>
        <v>2954351.75</v>
      </c>
      <c r="DU24" s="95">
        <f t="shared" si="3"/>
        <v>2924264.85</v>
      </c>
      <c r="DV24" s="95">
        <f t="shared" si="4"/>
        <v>30086.899999999907</v>
      </c>
      <c r="DW24" s="95">
        <f t="shared" si="5"/>
        <v>8896</v>
      </c>
      <c r="DX24" s="95">
        <f t="shared" si="6"/>
        <v>18085.490000000002</v>
      </c>
      <c r="DY24" s="95">
        <f t="shared" si="9"/>
        <v>-9189.4900000000016</v>
      </c>
      <c r="EA24" s="95">
        <f t="shared" si="10"/>
        <v>284338.86</v>
      </c>
      <c r="EB24" s="95">
        <f t="shared" si="11"/>
        <v>30086.899999999907</v>
      </c>
      <c r="EC24" s="95">
        <f t="shared" si="12"/>
        <v>314425.75999999989</v>
      </c>
      <c r="ED24" s="95">
        <v>314425.75999999989</v>
      </c>
      <c r="EE24" s="95">
        <f t="shared" si="7"/>
        <v>0</v>
      </c>
      <c r="EF24" s="95"/>
      <c r="EG24" s="95">
        <f t="shared" si="13"/>
        <v>26022.75</v>
      </c>
      <c r="EH24" s="95">
        <f t="shared" si="8"/>
        <v>-9189.4900000000016</v>
      </c>
      <c r="EI24" s="95">
        <f t="shared" si="14"/>
        <v>16833.259999999998</v>
      </c>
      <c r="EJ24" s="97">
        <v>16833.509999999998</v>
      </c>
      <c r="EK24" s="95">
        <f t="shared" si="15"/>
        <v>0.25</v>
      </c>
    </row>
    <row r="25" spans="1:141" s="87" customFormat="1" x14ac:dyDescent="0.35">
      <c r="A25" s="87" t="str">
        <f>_xlfn.XLOOKUP(C25,[1]Adjustment!B:B,[1]Adjustment!H:H,0,0)</f>
        <v>Agree</v>
      </c>
      <c r="B25" s="87">
        <v>2063</v>
      </c>
      <c r="C25" s="88">
        <v>3302063</v>
      </c>
      <c r="D25" s="98" t="s">
        <v>166</v>
      </c>
      <c r="E25" s="89" t="s">
        <v>167</v>
      </c>
      <c r="F25" s="101"/>
      <c r="G25" s="99"/>
      <c r="H25" s="88"/>
      <c r="I25" s="88"/>
      <c r="J25" s="88"/>
      <c r="K25" s="88"/>
      <c r="L25" s="88"/>
      <c r="M25" s="88"/>
      <c r="N25" s="88"/>
      <c r="O25" s="88"/>
      <c r="P25" s="88"/>
      <c r="Q25" s="88"/>
      <c r="R25" s="88"/>
      <c r="S25" s="92"/>
      <c r="T25" s="92"/>
      <c r="U25" s="92"/>
      <c r="V25" s="92"/>
      <c r="W25" s="92"/>
      <c r="X25" s="92"/>
      <c r="Y25" s="93">
        <v>158733.03</v>
      </c>
      <c r="Z25" s="93"/>
      <c r="AA25" s="93">
        <v>33318</v>
      </c>
      <c r="AB25" s="93">
        <v>2563286.09</v>
      </c>
      <c r="AC25" s="93">
        <v>0</v>
      </c>
      <c r="AD25" s="93">
        <v>29777.5</v>
      </c>
      <c r="AE25" s="93">
        <v>0</v>
      </c>
      <c r="AF25" s="93">
        <v>344107.75</v>
      </c>
      <c r="AG25" s="93">
        <v>7570.79</v>
      </c>
      <c r="AH25" s="93">
        <v>0</v>
      </c>
      <c r="AI25" s="93">
        <v>0</v>
      </c>
      <c r="AJ25" s="93">
        <v>212547.10000000068</v>
      </c>
      <c r="AK25" s="93">
        <v>0</v>
      </c>
      <c r="AL25" s="93">
        <v>0</v>
      </c>
      <c r="AM25" s="93">
        <v>0</v>
      </c>
      <c r="AN25" s="93">
        <v>10677.81</v>
      </c>
      <c r="AO25" s="93">
        <v>0</v>
      </c>
      <c r="AP25" s="93">
        <v>0</v>
      </c>
      <c r="AQ25" s="93">
        <v>0</v>
      </c>
      <c r="AR25" s="93">
        <v>0</v>
      </c>
      <c r="AS25" s="93">
        <v>0</v>
      </c>
      <c r="AT25" s="93">
        <v>0</v>
      </c>
      <c r="AU25" s="93">
        <v>47248.13</v>
      </c>
      <c r="AV25" s="93">
        <v>44829</v>
      </c>
      <c r="AW25" s="93">
        <v>1737862.45</v>
      </c>
      <c r="AX25" s="93">
        <v>0</v>
      </c>
      <c r="AY25" s="93">
        <v>379338.96</v>
      </c>
      <c r="AZ25" s="93">
        <v>124999.82</v>
      </c>
      <c r="BA25" s="93">
        <v>315008.53999999998</v>
      </c>
      <c r="BB25" s="93">
        <v>69565.149999999994</v>
      </c>
      <c r="BC25" s="93">
        <v>99560.27</v>
      </c>
      <c r="BD25" s="93">
        <v>330.22</v>
      </c>
      <c r="BE25" s="93">
        <v>6428.92</v>
      </c>
      <c r="BF25" s="93">
        <v>0</v>
      </c>
      <c r="BG25" s="93">
        <v>0</v>
      </c>
      <c r="BH25" s="93">
        <v>12989.73</v>
      </c>
      <c r="BI25" s="93">
        <v>1712.99</v>
      </c>
      <c r="BJ25" s="93">
        <v>4012.1</v>
      </c>
      <c r="BK25" s="93">
        <v>28084</v>
      </c>
      <c r="BL25" s="93">
        <v>84874.880000000005</v>
      </c>
      <c r="BM25" s="93">
        <v>0</v>
      </c>
      <c r="BN25" s="93">
        <v>9466.82</v>
      </c>
      <c r="BO25" s="93">
        <v>115373.5</v>
      </c>
      <c r="BP25" s="93">
        <v>1932.32</v>
      </c>
      <c r="BQ25" s="93">
        <v>0</v>
      </c>
      <c r="BR25" s="93">
        <v>21610.639999999999</v>
      </c>
      <c r="BS25" s="93">
        <v>9944.9500000000007</v>
      </c>
      <c r="BT25" s="93">
        <v>9040</v>
      </c>
      <c r="BU25" s="93">
        <v>69329.240000000005</v>
      </c>
      <c r="BV25" s="93">
        <v>598.20000000000005</v>
      </c>
      <c r="BW25" s="93">
        <v>0</v>
      </c>
      <c r="BX25" s="93">
        <v>213611.51</v>
      </c>
      <c r="BY25" s="93">
        <v>0</v>
      </c>
      <c r="BZ25" s="93">
        <v>0</v>
      </c>
      <c r="CA25" s="93"/>
      <c r="CB25" s="93">
        <v>0</v>
      </c>
      <c r="CC25" s="93">
        <v>0</v>
      </c>
      <c r="CD25" s="93">
        <v>9483.25</v>
      </c>
      <c r="CE25" s="93">
        <v>21265.7</v>
      </c>
      <c r="CF25" s="93">
        <v>0</v>
      </c>
      <c r="CG25" s="93">
        <v>0</v>
      </c>
      <c r="CH25" s="93">
        <v>0</v>
      </c>
      <c r="CI25" s="93">
        <v>0</v>
      </c>
      <c r="CJ25" s="93">
        <v>3535</v>
      </c>
      <c r="CK25" s="93"/>
      <c r="CL25" s="93">
        <v>103101.98999999929</v>
      </c>
      <c r="CM25" s="93"/>
      <c r="CN25" s="93">
        <v>60531.95</v>
      </c>
      <c r="CO25" s="93">
        <v>0</v>
      </c>
      <c r="CP25" s="93">
        <v>0</v>
      </c>
      <c r="CQ25" s="93">
        <v>0</v>
      </c>
      <c r="CR25" s="100"/>
      <c r="CS25" s="95">
        <v>84789.820000000036</v>
      </c>
      <c r="CT25" s="95">
        <v>0</v>
      </c>
      <c r="CU25" s="96">
        <v>97338.8</v>
      </c>
      <c r="CV25" s="96">
        <v>-12548.98</v>
      </c>
      <c r="CW25" s="96">
        <v>-12548.979999999967</v>
      </c>
      <c r="CX25" s="95">
        <v>-12548.98</v>
      </c>
      <c r="CY25" s="95">
        <v>84789.82</v>
      </c>
      <c r="CZ25" s="97">
        <v>21265.7</v>
      </c>
      <c r="DA25" s="95">
        <v>21265.7</v>
      </c>
      <c r="DB25" s="95">
        <v>2.9999999343999662E-2</v>
      </c>
      <c r="DC25" s="95">
        <v>0</v>
      </c>
      <c r="DD25" s="96">
        <v>-12548.98</v>
      </c>
      <c r="DF25" s="95">
        <v>3.2741809263825417E-11</v>
      </c>
      <c r="DI25" s="95">
        <v>84789.820000000036</v>
      </c>
      <c r="DJ25" s="95">
        <v>0</v>
      </c>
      <c r="DK25" s="96">
        <v>97338.8</v>
      </c>
      <c r="DL25" s="96">
        <v>-12548.98</v>
      </c>
      <c r="DQ25" s="88">
        <v>3302063</v>
      </c>
      <c r="DT25" s="95">
        <f t="shared" si="2"/>
        <v>3260044.1700000004</v>
      </c>
      <c r="DU25" s="95">
        <f t="shared" si="3"/>
        <v>3315675.2100000009</v>
      </c>
      <c r="DV25" s="95">
        <f t="shared" si="4"/>
        <v>-55631.040000000503</v>
      </c>
      <c r="DW25" s="95">
        <f t="shared" si="5"/>
        <v>30748.95</v>
      </c>
      <c r="DX25" s="95">
        <f t="shared" si="6"/>
        <v>3535</v>
      </c>
      <c r="DY25" s="95">
        <f t="shared" si="9"/>
        <v>27213.95</v>
      </c>
      <c r="EA25" s="95">
        <f t="shared" si="10"/>
        <v>158733.03</v>
      </c>
      <c r="EB25" s="95">
        <f t="shared" si="11"/>
        <v>-55631.040000000503</v>
      </c>
      <c r="EC25" s="95">
        <f t="shared" si="12"/>
        <v>103101.9899999995</v>
      </c>
      <c r="ED25" s="95">
        <v>103101.9899999995</v>
      </c>
      <c r="EE25" s="95">
        <f t="shared" si="7"/>
        <v>0</v>
      </c>
      <c r="EF25" s="95"/>
      <c r="EG25" s="95">
        <f t="shared" si="13"/>
        <v>33318</v>
      </c>
      <c r="EH25" s="95">
        <f t="shared" si="8"/>
        <v>27213.95</v>
      </c>
      <c r="EI25" s="95">
        <f t="shared" si="14"/>
        <v>60531.95</v>
      </c>
      <c r="EJ25" s="97">
        <v>60531.95</v>
      </c>
      <c r="EK25" s="95">
        <f t="shared" si="15"/>
        <v>0</v>
      </c>
    </row>
    <row r="26" spans="1:141" s="87" customFormat="1" x14ac:dyDescent="0.35">
      <c r="A26" s="87" t="str">
        <f>_xlfn.XLOOKUP(C26,[1]Adjustment!B:B,[1]Adjustment!H:H,0,0)</f>
        <v>Agree</v>
      </c>
      <c r="B26" s="87">
        <v>2081</v>
      </c>
      <c r="C26" s="88">
        <v>3302081</v>
      </c>
      <c r="D26" s="98" t="s">
        <v>168</v>
      </c>
      <c r="E26" s="89" t="s">
        <v>169</v>
      </c>
      <c r="F26" s="101"/>
      <c r="G26" s="99"/>
      <c r="H26" s="88"/>
      <c r="I26" s="88"/>
      <c r="J26" s="88"/>
      <c r="K26" s="88"/>
      <c r="L26" s="88"/>
      <c r="M26" s="88"/>
      <c r="N26" s="88"/>
      <c r="O26" s="88"/>
      <c r="P26" s="88"/>
      <c r="Q26" s="88"/>
      <c r="R26" s="88"/>
      <c r="S26" s="92"/>
      <c r="T26" s="92"/>
      <c r="U26" s="92"/>
      <c r="V26" s="92"/>
      <c r="W26" s="92"/>
      <c r="X26" s="92"/>
      <c r="Y26" s="93">
        <v>65014.96</v>
      </c>
      <c r="Z26" s="93"/>
      <c r="AA26" s="93">
        <v>25459.200000000001</v>
      </c>
      <c r="AB26" s="93">
        <v>1964072.27</v>
      </c>
      <c r="AC26" s="93">
        <v>0</v>
      </c>
      <c r="AD26" s="93">
        <v>72570</v>
      </c>
      <c r="AE26" s="93">
        <v>0</v>
      </c>
      <c r="AF26" s="93">
        <v>220716</v>
      </c>
      <c r="AG26" s="93">
        <v>5656.93</v>
      </c>
      <c r="AH26" s="93">
        <v>0</v>
      </c>
      <c r="AI26" s="93">
        <v>0</v>
      </c>
      <c r="AJ26" s="93">
        <v>102962.21999999919</v>
      </c>
      <c r="AK26" s="93">
        <v>0</v>
      </c>
      <c r="AL26" s="93">
        <v>0</v>
      </c>
      <c r="AM26" s="93">
        <v>0</v>
      </c>
      <c r="AN26" s="93">
        <v>24794.9</v>
      </c>
      <c r="AO26" s="93">
        <v>0</v>
      </c>
      <c r="AP26" s="93">
        <v>0</v>
      </c>
      <c r="AQ26" s="93">
        <v>0</v>
      </c>
      <c r="AR26" s="93">
        <v>0</v>
      </c>
      <c r="AS26" s="93">
        <v>0</v>
      </c>
      <c r="AT26" s="93">
        <v>0</v>
      </c>
      <c r="AU26" s="93">
        <v>35412.5</v>
      </c>
      <c r="AV26" s="93">
        <v>65422</v>
      </c>
      <c r="AW26" s="93">
        <v>1137651.5699999998</v>
      </c>
      <c r="AX26" s="93">
        <v>0</v>
      </c>
      <c r="AY26" s="93">
        <v>318669.05</v>
      </c>
      <c r="AZ26" s="93">
        <v>36016.44</v>
      </c>
      <c r="BA26" s="93">
        <v>161915.72</v>
      </c>
      <c r="BB26" s="93">
        <v>0</v>
      </c>
      <c r="BC26" s="93">
        <v>79943.3</v>
      </c>
      <c r="BD26" s="93">
        <v>0</v>
      </c>
      <c r="BE26" s="93">
        <v>2112</v>
      </c>
      <c r="BF26" s="93">
        <v>0</v>
      </c>
      <c r="BG26" s="93">
        <v>0</v>
      </c>
      <c r="BH26" s="93">
        <v>5015.26</v>
      </c>
      <c r="BI26" s="93">
        <v>5207.3900000000003</v>
      </c>
      <c r="BJ26" s="93">
        <v>34068.15</v>
      </c>
      <c r="BK26" s="93">
        <v>8063.72</v>
      </c>
      <c r="BL26" s="93">
        <v>52656.2</v>
      </c>
      <c r="BM26" s="93">
        <v>997.99</v>
      </c>
      <c r="BN26" s="93">
        <v>5156.3900000000003</v>
      </c>
      <c r="BO26" s="93">
        <v>119242.91</v>
      </c>
      <c r="BP26" s="93">
        <v>17659.650000000001</v>
      </c>
      <c r="BQ26" s="93">
        <v>185</v>
      </c>
      <c r="BR26" s="93">
        <v>36562.49</v>
      </c>
      <c r="BS26" s="93">
        <v>9020</v>
      </c>
      <c r="BT26" s="93">
        <v>4101.1499999999996</v>
      </c>
      <c r="BU26" s="93">
        <v>89717.53</v>
      </c>
      <c r="BV26" s="93">
        <v>171043.96</v>
      </c>
      <c r="BW26" s="93">
        <v>0</v>
      </c>
      <c r="BX26" s="93">
        <v>133048.89000000001</v>
      </c>
      <c r="BY26" s="93">
        <v>0</v>
      </c>
      <c r="BZ26" s="93">
        <v>0</v>
      </c>
      <c r="CA26" s="93"/>
      <c r="CB26" s="93">
        <v>0</v>
      </c>
      <c r="CC26" s="93">
        <v>0</v>
      </c>
      <c r="CD26" s="93">
        <v>8667.6299999999992</v>
      </c>
      <c r="CE26" s="93">
        <v>20522.230000000003</v>
      </c>
      <c r="CF26" s="93">
        <v>0</v>
      </c>
      <c r="CG26" s="93">
        <v>0</v>
      </c>
      <c r="CH26" s="93">
        <v>0</v>
      </c>
      <c r="CI26" s="93">
        <v>0</v>
      </c>
      <c r="CJ26" s="93">
        <v>3730.38</v>
      </c>
      <c r="CK26" s="93"/>
      <c r="CL26" s="93">
        <v>128567.02000000002</v>
      </c>
      <c r="CM26" s="93"/>
      <c r="CN26" s="93">
        <v>50918.68</v>
      </c>
      <c r="CO26" s="93">
        <v>0</v>
      </c>
      <c r="CP26" s="93">
        <v>0</v>
      </c>
      <c r="CQ26" s="93">
        <v>0</v>
      </c>
      <c r="CR26" s="100"/>
      <c r="CS26" s="95">
        <v>140884.96</v>
      </c>
      <c r="CT26" s="95">
        <v>0</v>
      </c>
      <c r="CU26" s="96">
        <v>143226.44</v>
      </c>
      <c r="CV26" s="96">
        <v>-2341.48</v>
      </c>
      <c r="CW26" s="96">
        <v>-2341.4800000000105</v>
      </c>
      <c r="CX26" s="95">
        <v>-2341.48</v>
      </c>
      <c r="CY26" s="95">
        <v>140884.96</v>
      </c>
      <c r="CZ26" s="97">
        <v>18180.47</v>
      </c>
      <c r="DA26" s="95">
        <v>18180.47</v>
      </c>
      <c r="DB26" s="95">
        <v>37879.420000000828</v>
      </c>
      <c r="DC26" s="95">
        <v>0</v>
      </c>
      <c r="DD26" s="96">
        <v>-2341.48</v>
      </c>
      <c r="DF26" s="95">
        <v>-1.0459189070388675E-11</v>
      </c>
      <c r="DI26" s="95">
        <v>140884.96</v>
      </c>
      <c r="DJ26" s="95">
        <v>0</v>
      </c>
      <c r="DK26" s="96">
        <v>143226.44</v>
      </c>
      <c r="DL26" s="96">
        <v>-2341.48</v>
      </c>
      <c r="DQ26" s="88">
        <v>3302081</v>
      </c>
      <c r="DT26" s="95">
        <f t="shared" si="2"/>
        <v>2491606.8199999994</v>
      </c>
      <c r="DU26" s="95">
        <f t="shared" si="3"/>
        <v>2428054.7599999993</v>
      </c>
      <c r="DV26" s="95">
        <f t="shared" si="4"/>
        <v>63552.060000000056</v>
      </c>
      <c r="DW26" s="95">
        <f t="shared" si="5"/>
        <v>29189.86</v>
      </c>
      <c r="DX26" s="95">
        <f t="shared" si="6"/>
        <v>3730.38</v>
      </c>
      <c r="DY26" s="95">
        <f t="shared" si="9"/>
        <v>25459.48</v>
      </c>
      <c r="EA26" s="95">
        <f t="shared" si="10"/>
        <v>65014.96</v>
      </c>
      <c r="EB26" s="95">
        <f t="shared" si="11"/>
        <v>63552.060000000056</v>
      </c>
      <c r="EC26" s="95">
        <f t="shared" si="12"/>
        <v>128567.02000000005</v>
      </c>
      <c r="ED26" s="95">
        <v>128567.02000000002</v>
      </c>
      <c r="EE26" s="95">
        <f t="shared" si="7"/>
        <v>0</v>
      </c>
      <c r="EF26" s="95"/>
      <c r="EG26" s="95">
        <f t="shared" si="13"/>
        <v>25459.200000000001</v>
      </c>
      <c r="EH26" s="95">
        <f t="shared" si="8"/>
        <v>25459.48</v>
      </c>
      <c r="EI26" s="95">
        <f t="shared" si="14"/>
        <v>50918.68</v>
      </c>
      <c r="EJ26" s="97">
        <v>50918.68</v>
      </c>
      <c r="EK26" s="95">
        <f t="shared" si="15"/>
        <v>0</v>
      </c>
    </row>
    <row r="27" spans="1:141" s="87" customFormat="1" x14ac:dyDescent="0.35">
      <c r="A27" s="87" t="str">
        <f>_xlfn.XLOOKUP(C27,[1]Adjustment!B:B,[1]Adjustment!H:H,0,0)</f>
        <v>Agree</v>
      </c>
      <c r="B27" s="87">
        <v>2091</v>
      </c>
      <c r="C27" s="88">
        <v>3302091</v>
      </c>
      <c r="D27" s="98" t="s">
        <v>170</v>
      </c>
      <c r="E27" s="89" t="s">
        <v>171</v>
      </c>
      <c r="F27" s="101"/>
      <c r="G27" s="99"/>
      <c r="H27" s="88"/>
      <c r="I27" s="88"/>
      <c r="J27" s="88"/>
      <c r="K27" s="88"/>
      <c r="L27" s="88"/>
      <c r="M27" s="88"/>
      <c r="N27" s="88"/>
      <c r="O27" s="88"/>
      <c r="P27" s="88"/>
      <c r="Q27" s="88"/>
      <c r="R27" s="88"/>
      <c r="S27" s="92"/>
      <c r="T27" s="92"/>
      <c r="U27" s="92"/>
      <c r="V27" s="92"/>
      <c r="W27" s="92"/>
      <c r="X27" s="92"/>
      <c r="Y27" s="93"/>
      <c r="Z27" s="93">
        <v>-132091.47</v>
      </c>
      <c r="AA27" s="93">
        <v>14517.61</v>
      </c>
      <c r="AB27" s="93">
        <v>1059179.53</v>
      </c>
      <c r="AC27" s="93">
        <v>0</v>
      </c>
      <c r="AD27" s="93">
        <v>135858.96</v>
      </c>
      <c r="AE27" s="93">
        <v>0</v>
      </c>
      <c r="AF27" s="93">
        <v>110200</v>
      </c>
      <c r="AG27" s="93">
        <v>200</v>
      </c>
      <c r="AH27" s="93">
        <v>0</v>
      </c>
      <c r="AI27" s="93">
        <v>0</v>
      </c>
      <c r="AJ27" s="93">
        <v>131141.44000000029</v>
      </c>
      <c r="AK27" s="93">
        <v>0</v>
      </c>
      <c r="AL27" s="93">
        <v>0</v>
      </c>
      <c r="AM27" s="93">
        <v>0</v>
      </c>
      <c r="AN27" s="93">
        <v>9218.81</v>
      </c>
      <c r="AO27" s="93">
        <v>1868</v>
      </c>
      <c r="AP27" s="93">
        <v>0</v>
      </c>
      <c r="AQ27" s="93">
        <v>0</v>
      </c>
      <c r="AR27" s="93">
        <v>0</v>
      </c>
      <c r="AS27" s="93">
        <v>0</v>
      </c>
      <c r="AT27" s="93">
        <v>0</v>
      </c>
      <c r="AU27" s="93">
        <v>6205.12</v>
      </c>
      <c r="AV27" s="93">
        <v>40361</v>
      </c>
      <c r="AW27" s="93">
        <v>659333.75000000023</v>
      </c>
      <c r="AX27" s="93">
        <v>0</v>
      </c>
      <c r="AY27" s="93">
        <v>349310.35</v>
      </c>
      <c r="AZ27" s="93">
        <v>36883.15</v>
      </c>
      <c r="BA27" s="93">
        <v>107702.64</v>
      </c>
      <c r="BB27" s="93">
        <v>5600.11</v>
      </c>
      <c r="BC27" s="93">
        <v>42371.26</v>
      </c>
      <c r="BD27" s="93">
        <v>0</v>
      </c>
      <c r="BE27" s="93">
        <v>1807.6</v>
      </c>
      <c r="BF27" s="93">
        <v>0</v>
      </c>
      <c r="BG27" s="93">
        <v>0</v>
      </c>
      <c r="BH27" s="93">
        <v>10067.76</v>
      </c>
      <c r="BI27" s="93">
        <v>2254.52</v>
      </c>
      <c r="BJ27" s="93">
        <v>16499.86</v>
      </c>
      <c r="BK27" s="93">
        <v>14333.43</v>
      </c>
      <c r="BL27" s="93">
        <v>44683.83</v>
      </c>
      <c r="BM27" s="93">
        <v>0</v>
      </c>
      <c r="BN27" s="93">
        <v>14104.56</v>
      </c>
      <c r="BO27" s="93">
        <v>115977.29</v>
      </c>
      <c r="BP27" s="93">
        <v>0</v>
      </c>
      <c r="BQ27" s="93">
        <v>0</v>
      </c>
      <c r="BR27" s="93">
        <v>14559.03</v>
      </c>
      <c r="BS27" s="93">
        <v>4895</v>
      </c>
      <c r="BT27" s="93">
        <v>2626.1</v>
      </c>
      <c r="BU27" s="93">
        <v>49093.4</v>
      </c>
      <c r="BV27" s="93">
        <v>10780</v>
      </c>
      <c r="BW27" s="93">
        <v>0</v>
      </c>
      <c r="BX27" s="93">
        <v>137271.54999999999</v>
      </c>
      <c r="BY27" s="93">
        <v>0</v>
      </c>
      <c r="BZ27" s="93">
        <v>0</v>
      </c>
      <c r="CA27" s="93"/>
      <c r="CB27" s="93">
        <v>0</v>
      </c>
      <c r="CC27" s="93">
        <v>0</v>
      </c>
      <c r="CD27" s="93">
        <v>6306.25</v>
      </c>
      <c r="CE27" s="93">
        <v>0</v>
      </c>
      <c r="CF27" s="93">
        <v>0</v>
      </c>
      <c r="CG27" s="93">
        <v>0</v>
      </c>
      <c r="CH27" s="93">
        <v>0</v>
      </c>
      <c r="CI27" s="93">
        <v>6306.25</v>
      </c>
      <c r="CJ27" s="93">
        <v>2839</v>
      </c>
      <c r="CK27" s="93"/>
      <c r="CL27" s="93">
        <v>-278013.80000000028</v>
      </c>
      <c r="CM27" s="93"/>
      <c r="CN27" s="93">
        <v>11678.61</v>
      </c>
      <c r="CO27" s="93">
        <v>0</v>
      </c>
      <c r="CP27" s="93">
        <v>0</v>
      </c>
      <c r="CQ27" s="93">
        <v>0</v>
      </c>
      <c r="CR27" s="100"/>
      <c r="CS27" s="95">
        <v>-321051.41000000015</v>
      </c>
      <c r="CT27" s="95">
        <v>0</v>
      </c>
      <c r="CU27" s="96">
        <v>-278013.8</v>
      </c>
      <c r="CV27" s="96">
        <v>-43037.61</v>
      </c>
      <c r="CW27" s="96">
        <v>-43037.610000000161</v>
      </c>
      <c r="CX27" s="95">
        <v>-43037.61</v>
      </c>
      <c r="CY27" s="95">
        <v>-321051.40999999997</v>
      </c>
      <c r="CZ27" s="97">
        <v>0</v>
      </c>
      <c r="DA27" s="95">
        <v>0</v>
      </c>
      <c r="DB27" s="95">
        <v>63463.519999999698</v>
      </c>
      <c r="DC27" s="95">
        <v>0</v>
      </c>
      <c r="DD27" s="96">
        <v>-43037.61</v>
      </c>
      <c r="DF27" s="95">
        <v>-1.6007106751203537E-10</v>
      </c>
      <c r="DI27" s="95">
        <v>-321051.41000000015</v>
      </c>
      <c r="DJ27" s="95">
        <v>0</v>
      </c>
      <c r="DK27" s="96">
        <v>-278013.8</v>
      </c>
      <c r="DL27" s="96">
        <v>-43037.61</v>
      </c>
      <c r="DQ27" s="88">
        <v>3302091</v>
      </c>
      <c r="DT27" s="95">
        <f t="shared" si="2"/>
        <v>1494232.8600000003</v>
      </c>
      <c r="DU27" s="95">
        <f t="shared" si="3"/>
        <v>1640155.1900000006</v>
      </c>
      <c r="DV27" s="95">
        <f t="shared" si="4"/>
        <v>-145922.33000000031</v>
      </c>
      <c r="DW27" s="95">
        <f t="shared" si="5"/>
        <v>6306.25</v>
      </c>
      <c r="DX27" s="95">
        <f t="shared" si="6"/>
        <v>9145.25</v>
      </c>
      <c r="DY27" s="95">
        <f t="shared" si="9"/>
        <v>-2839</v>
      </c>
      <c r="EA27" s="95">
        <f t="shared" si="10"/>
        <v>-132091.47</v>
      </c>
      <c r="EB27" s="95">
        <f t="shared" si="11"/>
        <v>-145922.33000000031</v>
      </c>
      <c r="EC27" s="95">
        <f t="shared" si="12"/>
        <v>-278013.80000000028</v>
      </c>
      <c r="ED27" s="95">
        <v>-278013.80000000028</v>
      </c>
      <c r="EE27" s="95">
        <f t="shared" si="7"/>
        <v>0</v>
      </c>
      <c r="EF27" s="95"/>
      <c r="EG27" s="95">
        <f t="shared" si="13"/>
        <v>14517.61</v>
      </c>
      <c r="EH27" s="95">
        <f t="shared" si="8"/>
        <v>-2839</v>
      </c>
      <c r="EI27" s="95">
        <f t="shared" si="14"/>
        <v>11678.61</v>
      </c>
      <c r="EJ27" s="97">
        <v>11678.61</v>
      </c>
      <c r="EK27" s="95">
        <f t="shared" si="15"/>
        <v>0</v>
      </c>
    </row>
    <row r="28" spans="1:141" s="87" customFormat="1" x14ac:dyDescent="0.35">
      <c r="A28" s="87" t="str">
        <f>_xlfn.XLOOKUP(C28,[1]Adjustment!B:B,[1]Adjustment!H:H,0,0)</f>
        <v>Agree</v>
      </c>
      <c r="B28" s="87">
        <v>2093</v>
      </c>
      <c r="C28" s="88">
        <v>3302093</v>
      </c>
      <c r="D28" s="98" t="s">
        <v>172</v>
      </c>
      <c r="E28" s="89" t="s">
        <v>173</v>
      </c>
      <c r="F28" s="101"/>
      <c r="G28" s="99"/>
      <c r="H28" s="88"/>
      <c r="I28" s="88"/>
      <c r="J28" s="88"/>
      <c r="K28" s="88"/>
      <c r="L28" s="88"/>
      <c r="M28" s="88"/>
      <c r="N28" s="88"/>
      <c r="O28" s="88"/>
      <c r="P28" s="88"/>
      <c r="Q28" s="88"/>
      <c r="R28" s="88"/>
      <c r="S28" s="92"/>
      <c r="T28" s="92"/>
      <c r="U28" s="92"/>
      <c r="V28" s="92"/>
      <c r="W28" s="92"/>
      <c r="X28" s="92"/>
      <c r="Y28" s="93">
        <v>277239.18</v>
      </c>
      <c r="Z28" s="93"/>
      <c r="AA28" s="93">
        <v>48472</v>
      </c>
      <c r="AB28" s="93">
        <v>1922301.44</v>
      </c>
      <c r="AC28" s="93">
        <v>0</v>
      </c>
      <c r="AD28" s="93">
        <v>90422.83</v>
      </c>
      <c r="AE28" s="93">
        <v>0</v>
      </c>
      <c r="AF28" s="93">
        <v>114565.5</v>
      </c>
      <c r="AG28" s="93">
        <v>4113.8599999999997</v>
      </c>
      <c r="AH28" s="93">
        <v>0</v>
      </c>
      <c r="AI28" s="93">
        <v>0</v>
      </c>
      <c r="AJ28" s="93">
        <v>22349.530000000101</v>
      </c>
      <c r="AK28" s="93">
        <v>0</v>
      </c>
      <c r="AL28" s="93">
        <v>0</v>
      </c>
      <c r="AM28" s="93">
        <v>0</v>
      </c>
      <c r="AN28" s="93">
        <v>34961.129999999997</v>
      </c>
      <c r="AO28" s="93">
        <v>0</v>
      </c>
      <c r="AP28" s="93">
        <v>0</v>
      </c>
      <c r="AQ28" s="93">
        <v>0</v>
      </c>
      <c r="AR28" s="93">
        <v>0</v>
      </c>
      <c r="AS28" s="93">
        <v>0</v>
      </c>
      <c r="AT28" s="93">
        <v>0</v>
      </c>
      <c r="AU28" s="93">
        <v>17424.38</v>
      </c>
      <c r="AV28" s="93">
        <v>144096</v>
      </c>
      <c r="AW28" s="93">
        <v>905277.86000000045</v>
      </c>
      <c r="AX28" s="93">
        <v>0</v>
      </c>
      <c r="AY28" s="93">
        <v>341661.43</v>
      </c>
      <c r="AZ28" s="93">
        <v>32547.65</v>
      </c>
      <c r="BA28" s="93">
        <v>172092.68</v>
      </c>
      <c r="BB28" s="93">
        <v>0</v>
      </c>
      <c r="BC28" s="93">
        <v>65801</v>
      </c>
      <c r="BD28" s="93">
        <v>1928.43</v>
      </c>
      <c r="BE28" s="93">
        <v>4615.9799999999996</v>
      </c>
      <c r="BF28" s="93">
        <v>0</v>
      </c>
      <c r="BG28" s="93">
        <v>0</v>
      </c>
      <c r="BH28" s="93">
        <v>13937.9</v>
      </c>
      <c r="BI28" s="93">
        <v>127</v>
      </c>
      <c r="BJ28" s="93">
        <v>5244.73</v>
      </c>
      <c r="BK28" s="93">
        <v>8936.9</v>
      </c>
      <c r="BL28" s="93">
        <v>86629.38</v>
      </c>
      <c r="BM28" s="93">
        <v>0</v>
      </c>
      <c r="BN28" s="93">
        <v>11177.25</v>
      </c>
      <c r="BO28" s="93">
        <v>78800.789999999994</v>
      </c>
      <c r="BP28" s="93">
        <v>15312.1</v>
      </c>
      <c r="BQ28" s="93">
        <v>10569.25</v>
      </c>
      <c r="BR28" s="93">
        <v>65481.47</v>
      </c>
      <c r="BS28" s="93">
        <v>0</v>
      </c>
      <c r="BT28" s="93">
        <v>0</v>
      </c>
      <c r="BU28" s="93">
        <v>178293.92</v>
      </c>
      <c r="BV28" s="93">
        <v>207724.63</v>
      </c>
      <c r="BW28" s="93">
        <v>0</v>
      </c>
      <c r="BX28" s="93">
        <v>56144.52</v>
      </c>
      <c r="BY28" s="93">
        <v>0</v>
      </c>
      <c r="BZ28" s="93">
        <v>0</v>
      </c>
      <c r="CA28" s="93"/>
      <c r="CB28" s="93">
        <v>0</v>
      </c>
      <c r="CC28" s="93">
        <v>0</v>
      </c>
      <c r="CD28" s="93">
        <v>8367.25</v>
      </c>
      <c r="CE28" s="93">
        <v>17767.23</v>
      </c>
      <c r="CF28" s="93">
        <v>0</v>
      </c>
      <c r="CG28" s="93">
        <v>0</v>
      </c>
      <c r="CH28" s="93">
        <v>0</v>
      </c>
      <c r="CI28" s="93">
        <v>0</v>
      </c>
      <c r="CJ28" s="93">
        <v>7874</v>
      </c>
      <c r="CK28" s="93"/>
      <c r="CL28" s="93">
        <v>365168.98</v>
      </c>
      <c r="CM28" s="93"/>
      <c r="CN28" s="93">
        <v>66732.479999999996</v>
      </c>
      <c r="CO28" s="93">
        <v>0</v>
      </c>
      <c r="CP28" s="93">
        <v>0</v>
      </c>
      <c r="CQ28" s="93">
        <v>0</v>
      </c>
      <c r="CR28" s="100"/>
      <c r="CS28" s="95">
        <v>345173.04000000033</v>
      </c>
      <c r="CT28" s="95">
        <v>0</v>
      </c>
      <c r="CU28" s="96">
        <v>365168.98</v>
      </c>
      <c r="CV28" s="96">
        <v>-19995.939999999999</v>
      </c>
      <c r="CW28" s="96">
        <v>-19995.939999999653</v>
      </c>
      <c r="CX28" s="95">
        <v>-19995.939999999999</v>
      </c>
      <c r="CY28" s="95">
        <v>345173.04</v>
      </c>
      <c r="CZ28" s="97">
        <v>17767.23</v>
      </c>
      <c r="DA28" s="95">
        <v>17767.23</v>
      </c>
      <c r="DB28" s="95">
        <v>17133.5799999999</v>
      </c>
      <c r="DC28" s="95">
        <v>0</v>
      </c>
      <c r="DD28" s="96">
        <v>-19995.939999999999</v>
      </c>
      <c r="DF28" s="95">
        <v>3.4560798667371273E-10</v>
      </c>
      <c r="DI28" s="95">
        <v>345173.04000000033</v>
      </c>
      <c r="DJ28" s="95">
        <v>0</v>
      </c>
      <c r="DK28" s="96">
        <v>365168.98</v>
      </c>
      <c r="DL28" s="96">
        <v>-19995.939999999999</v>
      </c>
      <c r="DQ28" s="88">
        <v>3302093</v>
      </c>
      <c r="DT28" s="95">
        <f t="shared" si="2"/>
        <v>2350234.67</v>
      </c>
      <c r="DU28" s="95">
        <f t="shared" si="3"/>
        <v>2262304.87</v>
      </c>
      <c r="DV28" s="95">
        <f t="shared" si="4"/>
        <v>87929.799999999814</v>
      </c>
      <c r="DW28" s="95">
        <f t="shared" si="5"/>
        <v>26134.48</v>
      </c>
      <c r="DX28" s="95">
        <f t="shared" si="6"/>
        <v>7874</v>
      </c>
      <c r="DY28" s="95">
        <f t="shared" si="9"/>
        <v>18260.48</v>
      </c>
      <c r="EA28" s="95">
        <f t="shared" si="10"/>
        <v>277239.18</v>
      </c>
      <c r="EB28" s="95">
        <f t="shared" si="11"/>
        <v>87929.799999999814</v>
      </c>
      <c r="EC28" s="95">
        <f t="shared" si="12"/>
        <v>365168.97999999981</v>
      </c>
      <c r="ED28" s="95">
        <v>365168.97999999981</v>
      </c>
      <c r="EE28" s="95">
        <f t="shared" si="7"/>
        <v>0</v>
      </c>
      <c r="EF28" s="95"/>
      <c r="EG28" s="95">
        <f t="shared" si="13"/>
        <v>48472</v>
      </c>
      <c r="EH28" s="95">
        <f t="shared" si="8"/>
        <v>18260.48</v>
      </c>
      <c r="EI28" s="95">
        <f t="shared" si="14"/>
        <v>66732.479999999996</v>
      </c>
      <c r="EJ28" s="97">
        <v>66732.479999999996</v>
      </c>
      <c r="EK28" s="95">
        <f t="shared" si="15"/>
        <v>0</v>
      </c>
    </row>
    <row r="29" spans="1:141" s="87" customFormat="1" x14ac:dyDescent="0.35">
      <c r="A29" s="87" t="str">
        <f>_xlfn.XLOOKUP(C29,[1]Adjustment!B:B,[1]Adjustment!H:H,0,0)</f>
        <v>Agree</v>
      </c>
      <c r="B29" s="87">
        <v>2097</v>
      </c>
      <c r="C29" s="88">
        <v>3302097</v>
      </c>
      <c r="D29" s="98" t="s">
        <v>174</v>
      </c>
      <c r="E29" s="89" t="s">
        <v>175</v>
      </c>
      <c r="F29" s="101"/>
      <c r="G29" s="99"/>
      <c r="H29" s="88"/>
      <c r="I29" s="88"/>
      <c r="J29" s="88"/>
      <c r="K29" s="88"/>
      <c r="L29" s="88"/>
      <c r="M29" s="88"/>
      <c r="N29" s="88"/>
      <c r="O29" s="88"/>
      <c r="P29" s="88"/>
      <c r="Q29" s="88"/>
      <c r="R29" s="88"/>
      <c r="S29" s="92"/>
      <c r="T29" s="92"/>
      <c r="U29" s="92"/>
      <c r="V29" s="92"/>
      <c r="W29" s="92"/>
      <c r="X29" s="92"/>
      <c r="Y29" s="93">
        <v>370604.77</v>
      </c>
      <c r="Z29" s="93"/>
      <c r="AA29" s="93">
        <v>66354</v>
      </c>
      <c r="AB29" s="93">
        <v>1482144.68</v>
      </c>
      <c r="AC29" s="93">
        <v>0</v>
      </c>
      <c r="AD29" s="93">
        <v>45164.08</v>
      </c>
      <c r="AE29" s="93">
        <v>0</v>
      </c>
      <c r="AF29" s="93">
        <v>143196.5</v>
      </c>
      <c r="AG29" s="93">
        <v>5656.93</v>
      </c>
      <c r="AH29" s="93">
        <v>0</v>
      </c>
      <c r="AI29" s="93">
        <v>0</v>
      </c>
      <c r="AJ29" s="93">
        <v>37601.97</v>
      </c>
      <c r="AK29" s="93">
        <v>0</v>
      </c>
      <c r="AL29" s="93">
        <v>0</v>
      </c>
      <c r="AM29" s="93">
        <v>0</v>
      </c>
      <c r="AN29" s="93">
        <v>0</v>
      </c>
      <c r="AO29" s="93">
        <v>0</v>
      </c>
      <c r="AP29" s="93">
        <v>0</v>
      </c>
      <c r="AQ29" s="93">
        <v>0</v>
      </c>
      <c r="AR29" s="93">
        <v>0</v>
      </c>
      <c r="AS29" s="93">
        <v>0</v>
      </c>
      <c r="AT29" s="93">
        <v>0</v>
      </c>
      <c r="AU29" s="93">
        <v>23849.38</v>
      </c>
      <c r="AV29" s="93">
        <v>44718</v>
      </c>
      <c r="AW29" s="93">
        <v>799797.9</v>
      </c>
      <c r="AX29" s="93">
        <v>0</v>
      </c>
      <c r="AY29" s="93">
        <v>107468.7</v>
      </c>
      <c r="AZ29" s="93">
        <v>80573.27</v>
      </c>
      <c r="BA29" s="93">
        <v>121719.96</v>
      </c>
      <c r="BB29" s="93">
        <v>21584.84</v>
      </c>
      <c r="BC29" s="93">
        <v>18044.47</v>
      </c>
      <c r="BD29" s="93">
        <v>478.02</v>
      </c>
      <c r="BE29" s="93">
        <v>6379</v>
      </c>
      <c r="BF29" s="93">
        <v>0</v>
      </c>
      <c r="BG29" s="93">
        <v>0</v>
      </c>
      <c r="BH29" s="93">
        <v>17055.240000000002</v>
      </c>
      <c r="BI29" s="93">
        <v>1454.2</v>
      </c>
      <c r="BJ29" s="93">
        <v>2165.1999999999998</v>
      </c>
      <c r="BK29" s="93">
        <v>4896.87</v>
      </c>
      <c r="BL29" s="93">
        <v>51860.88</v>
      </c>
      <c r="BM29" s="93">
        <v>0</v>
      </c>
      <c r="BN29" s="93">
        <v>6364.76</v>
      </c>
      <c r="BO29" s="93">
        <v>29727.449999999855</v>
      </c>
      <c r="BP29" s="93">
        <v>35576.14</v>
      </c>
      <c r="BQ29" s="93">
        <v>0</v>
      </c>
      <c r="BR29" s="93">
        <v>0</v>
      </c>
      <c r="BS29" s="93">
        <v>4895</v>
      </c>
      <c r="BT29" s="93">
        <v>0</v>
      </c>
      <c r="BU29" s="93">
        <v>32968.99</v>
      </c>
      <c r="BV29" s="93">
        <v>9006.25</v>
      </c>
      <c r="BW29" s="93">
        <v>105</v>
      </c>
      <c r="BX29" s="93">
        <v>173119.76</v>
      </c>
      <c r="BY29" s="93">
        <v>0</v>
      </c>
      <c r="BZ29" s="93">
        <v>0</v>
      </c>
      <c r="CA29" s="93"/>
      <c r="CB29" s="93">
        <v>0</v>
      </c>
      <c r="CC29" s="93">
        <v>0</v>
      </c>
      <c r="CD29" s="93">
        <v>6522.25</v>
      </c>
      <c r="CE29" s="93">
        <v>0</v>
      </c>
      <c r="CF29" s="93">
        <v>0</v>
      </c>
      <c r="CG29" s="93">
        <v>0</v>
      </c>
      <c r="CH29" s="93">
        <v>0</v>
      </c>
      <c r="CI29" s="93">
        <v>0</v>
      </c>
      <c r="CJ29" s="93">
        <v>0</v>
      </c>
      <c r="CK29" s="93">
        <v>7752</v>
      </c>
      <c r="CL29" s="93">
        <v>627694.40999999968</v>
      </c>
      <c r="CM29" s="93"/>
      <c r="CN29" s="93">
        <v>65124.25</v>
      </c>
      <c r="CO29" s="93">
        <v>0</v>
      </c>
      <c r="CP29" s="93">
        <v>0</v>
      </c>
      <c r="CQ29" s="93">
        <v>0</v>
      </c>
      <c r="CR29" s="100"/>
      <c r="CS29" s="95">
        <v>596769.43999999994</v>
      </c>
      <c r="CT29" s="95">
        <v>0</v>
      </c>
      <c r="CU29" s="96">
        <v>627694.41</v>
      </c>
      <c r="CV29" s="96">
        <v>-30924.97</v>
      </c>
      <c r="CW29" s="96">
        <v>-30924.970000000088</v>
      </c>
      <c r="CX29" s="95">
        <v>-30924.97</v>
      </c>
      <c r="CY29" s="95">
        <v>596769.44000000006</v>
      </c>
      <c r="CZ29" s="97">
        <v>14453.32</v>
      </c>
      <c r="DA29" s="95">
        <v>14453.32</v>
      </c>
      <c r="DB29" s="95">
        <v>0</v>
      </c>
      <c r="DC29" s="95">
        <v>-3.0000000144354999E-2</v>
      </c>
      <c r="DD29" s="96">
        <v>-30924.97</v>
      </c>
      <c r="DF29" s="95">
        <v>-8.7311491370201111E-11</v>
      </c>
      <c r="DI29" s="95">
        <v>596769.43999999994</v>
      </c>
      <c r="DJ29" s="95">
        <v>0</v>
      </c>
      <c r="DK29" s="96">
        <v>627694.41</v>
      </c>
      <c r="DL29" s="96">
        <v>-30924.97</v>
      </c>
      <c r="DQ29" s="88">
        <v>3302097</v>
      </c>
      <c r="DT29" s="95">
        <f t="shared" si="2"/>
        <v>1782331.5399999998</v>
      </c>
      <c r="DU29" s="95">
        <f t="shared" si="3"/>
        <v>1525241.9</v>
      </c>
      <c r="DV29" s="95">
        <f t="shared" si="4"/>
        <v>257089.6399999999</v>
      </c>
      <c r="DW29" s="95">
        <f t="shared" si="5"/>
        <v>6522.25</v>
      </c>
      <c r="DX29" s="95">
        <f t="shared" si="6"/>
        <v>7752</v>
      </c>
      <c r="DY29" s="95">
        <f t="shared" si="9"/>
        <v>-1229.75</v>
      </c>
      <c r="EA29" s="95">
        <f t="shared" si="10"/>
        <v>370604.77</v>
      </c>
      <c r="EB29" s="95">
        <f t="shared" si="11"/>
        <v>257089.6399999999</v>
      </c>
      <c r="EC29" s="95">
        <f t="shared" si="12"/>
        <v>627694.40999999992</v>
      </c>
      <c r="ED29" s="95">
        <v>627694.40999999992</v>
      </c>
      <c r="EE29" s="95">
        <f t="shared" si="7"/>
        <v>0</v>
      </c>
      <c r="EF29" s="95"/>
      <c r="EG29" s="95">
        <f t="shared" si="13"/>
        <v>66354</v>
      </c>
      <c r="EH29" s="95">
        <f t="shared" si="8"/>
        <v>-1229.75</v>
      </c>
      <c r="EI29" s="95">
        <f t="shared" si="14"/>
        <v>65124.25</v>
      </c>
      <c r="EJ29" s="97">
        <v>65124.25</v>
      </c>
      <c r="EK29" s="95">
        <f t="shared" si="15"/>
        <v>0</v>
      </c>
    </row>
    <row r="30" spans="1:141" s="87" customFormat="1" x14ac:dyDescent="0.35">
      <c r="A30" s="87" t="str">
        <f>_xlfn.XLOOKUP(C30,[1]Adjustment!B:B,[1]Adjustment!H:H,0,0)</f>
        <v>Agree</v>
      </c>
      <c r="B30" s="87">
        <v>2127</v>
      </c>
      <c r="C30" s="88">
        <v>3302127</v>
      </c>
      <c r="D30" s="98" t="s">
        <v>176</v>
      </c>
      <c r="E30" s="89" t="s">
        <v>177</v>
      </c>
      <c r="F30" s="101"/>
      <c r="G30" s="99"/>
      <c r="H30" s="88"/>
      <c r="I30" s="88"/>
      <c r="J30" s="88"/>
      <c r="K30" s="88"/>
      <c r="L30" s="88"/>
      <c r="M30" s="88"/>
      <c r="N30" s="88"/>
      <c r="O30" s="88"/>
      <c r="P30" s="88"/>
      <c r="Q30" s="88"/>
      <c r="R30" s="88"/>
      <c r="S30" s="92"/>
      <c r="T30" s="92"/>
      <c r="U30" s="92"/>
      <c r="V30" s="92"/>
      <c r="W30" s="92"/>
      <c r="X30" s="92"/>
      <c r="Y30" s="93">
        <v>480350.65</v>
      </c>
      <c r="Z30" s="93"/>
      <c r="AA30" s="93">
        <v>8974.75</v>
      </c>
      <c r="AB30" s="93">
        <v>2512054.98</v>
      </c>
      <c r="AC30" s="93">
        <v>0</v>
      </c>
      <c r="AD30" s="93">
        <v>153687.29</v>
      </c>
      <c r="AE30" s="93">
        <v>0</v>
      </c>
      <c r="AF30" s="93">
        <v>348820</v>
      </c>
      <c r="AG30" s="93">
        <v>4113.8599999999997</v>
      </c>
      <c r="AH30" s="93">
        <v>0</v>
      </c>
      <c r="AI30" s="93">
        <v>0</v>
      </c>
      <c r="AJ30" s="93">
        <v>111936.46000000024</v>
      </c>
      <c r="AK30" s="93">
        <v>0</v>
      </c>
      <c r="AL30" s="93">
        <v>0</v>
      </c>
      <c r="AM30" s="93">
        <v>0</v>
      </c>
      <c r="AN30" s="93">
        <v>9990.7199999999993</v>
      </c>
      <c r="AO30" s="93">
        <v>10000</v>
      </c>
      <c r="AP30" s="93">
        <v>0</v>
      </c>
      <c r="AQ30" s="93">
        <v>0</v>
      </c>
      <c r="AR30" s="93">
        <v>0</v>
      </c>
      <c r="AS30" s="93">
        <v>0</v>
      </c>
      <c r="AT30" s="93">
        <v>0</v>
      </c>
      <c r="AU30" s="93">
        <v>57385.62</v>
      </c>
      <c r="AV30" s="93">
        <v>61294</v>
      </c>
      <c r="AW30" s="93">
        <v>1281553.0400000005</v>
      </c>
      <c r="AX30" s="93">
        <v>0</v>
      </c>
      <c r="AY30" s="93">
        <v>414030.25</v>
      </c>
      <c r="AZ30" s="93">
        <v>0</v>
      </c>
      <c r="BA30" s="93">
        <v>189702.89</v>
      </c>
      <c r="BB30" s="93">
        <v>0</v>
      </c>
      <c r="BC30" s="93">
        <v>68968.070000000007</v>
      </c>
      <c r="BD30" s="93">
        <v>2487.19</v>
      </c>
      <c r="BE30" s="93">
        <v>5693.5</v>
      </c>
      <c r="BF30" s="93">
        <v>0</v>
      </c>
      <c r="BG30" s="93">
        <v>9288.2000000000007</v>
      </c>
      <c r="BH30" s="93">
        <v>3140.25</v>
      </c>
      <c r="BI30" s="93">
        <v>0</v>
      </c>
      <c r="BJ30" s="93">
        <v>0</v>
      </c>
      <c r="BK30" s="93">
        <v>21637.82</v>
      </c>
      <c r="BL30" s="93">
        <v>162262.07</v>
      </c>
      <c r="BM30" s="93">
        <v>56601.599999999999</v>
      </c>
      <c r="BN30" s="93">
        <v>0</v>
      </c>
      <c r="BO30" s="93">
        <v>78429.149999999994</v>
      </c>
      <c r="BP30" s="93">
        <v>37428.839999999997</v>
      </c>
      <c r="BQ30" s="93">
        <v>0</v>
      </c>
      <c r="BR30" s="93">
        <v>0</v>
      </c>
      <c r="BS30" s="93">
        <v>4895</v>
      </c>
      <c r="BT30" s="93">
        <v>2226</v>
      </c>
      <c r="BU30" s="93">
        <v>250475.99</v>
      </c>
      <c r="BV30" s="93">
        <v>328933.53999999998</v>
      </c>
      <c r="BW30" s="93">
        <v>2600</v>
      </c>
      <c r="BX30" s="93">
        <v>110311.03</v>
      </c>
      <c r="BY30" s="93">
        <v>289847.83</v>
      </c>
      <c r="BZ30" s="93">
        <v>0</v>
      </c>
      <c r="CA30" s="93"/>
      <c r="CB30" s="93">
        <v>0</v>
      </c>
      <c r="CC30" s="93">
        <v>0</v>
      </c>
      <c r="CD30" s="93">
        <v>9096.25</v>
      </c>
      <c r="CE30" s="93">
        <v>18870.53</v>
      </c>
      <c r="CF30" s="93">
        <v>0</v>
      </c>
      <c r="CG30" s="93">
        <v>0</v>
      </c>
      <c r="CH30" s="93">
        <v>0</v>
      </c>
      <c r="CI30" s="93">
        <v>0</v>
      </c>
      <c r="CJ30" s="93">
        <v>0</v>
      </c>
      <c r="CK30" s="93"/>
      <c r="CL30" s="93">
        <v>429121.3200000003</v>
      </c>
      <c r="CM30" s="93"/>
      <c r="CN30" s="93">
        <v>36941.53</v>
      </c>
      <c r="CO30" s="93">
        <v>0</v>
      </c>
      <c r="CP30" s="93">
        <v>0</v>
      </c>
      <c r="CQ30" s="93">
        <v>0</v>
      </c>
      <c r="CR30" s="100"/>
      <c r="CS30" s="95">
        <v>429121.32000000041</v>
      </c>
      <c r="CT30" s="95">
        <v>36941.53</v>
      </c>
      <c r="CU30" s="96">
        <v>429121.32</v>
      </c>
      <c r="CV30" s="96">
        <v>36941.53</v>
      </c>
      <c r="CW30" s="96">
        <v>0</v>
      </c>
      <c r="CX30" s="95">
        <v>0</v>
      </c>
      <c r="CY30" s="95">
        <v>466062.85</v>
      </c>
      <c r="CZ30" s="97">
        <v>18870.53</v>
      </c>
      <c r="DA30" s="95">
        <v>18870.53</v>
      </c>
      <c r="DB30" s="95">
        <v>4.9999999755527824E-2</v>
      </c>
      <c r="DC30" s="95">
        <v>0</v>
      </c>
      <c r="DD30" s="96"/>
      <c r="DF30" s="95">
        <v>4.3655745685100555E-10</v>
      </c>
      <c r="DI30" s="95">
        <v>429121.32000000041</v>
      </c>
      <c r="DJ30" s="95">
        <v>36941.53</v>
      </c>
      <c r="DK30" s="96">
        <v>429121.32</v>
      </c>
      <c r="DL30" s="96">
        <v>36941.53</v>
      </c>
      <c r="DQ30" s="88">
        <v>3302127</v>
      </c>
      <c r="DT30" s="95">
        <f t="shared" si="2"/>
        <v>3269282.9300000006</v>
      </c>
      <c r="DU30" s="95">
        <f t="shared" si="3"/>
        <v>3320512.2600000002</v>
      </c>
      <c r="DV30" s="95">
        <f t="shared" si="4"/>
        <v>-51229.329999999609</v>
      </c>
      <c r="DW30" s="95">
        <f t="shared" si="5"/>
        <v>27966.78</v>
      </c>
      <c r="DX30" s="95">
        <f t="shared" si="6"/>
        <v>0</v>
      </c>
      <c r="DY30" s="95">
        <f t="shared" si="9"/>
        <v>27966.78</v>
      </c>
      <c r="EA30" s="95">
        <f t="shared" si="10"/>
        <v>480350.65</v>
      </c>
      <c r="EB30" s="95">
        <f t="shared" si="11"/>
        <v>-51229.329999999609</v>
      </c>
      <c r="EC30" s="95">
        <f t="shared" si="12"/>
        <v>429121.32000000041</v>
      </c>
      <c r="ED30" s="95">
        <v>429121.31999999995</v>
      </c>
      <c r="EE30" s="95">
        <f t="shared" si="7"/>
        <v>4.6566128730773926E-10</v>
      </c>
      <c r="EF30" s="95"/>
      <c r="EG30" s="95">
        <f t="shared" si="13"/>
        <v>8974.75</v>
      </c>
      <c r="EH30" s="95">
        <f t="shared" si="8"/>
        <v>27966.78</v>
      </c>
      <c r="EI30" s="95">
        <f t="shared" si="14"/>
        <v>36941.53</v>
      </c>
      <c r="EJ30" s="97">
        <v>36941.53</v>
      </c>
      <c r="EK30" s="95">
        <f t="shared" si="15"/>
        <v>0</v>
      </c>
    </row>
    <row r="31" spans="1:141" s="87" customFormat="1" x14ac:dyDescent="0.35">
      <c r="A31" s="87" t="str">
        <f>_xlfn.XLOOKUP(C31,[1]Adjustment!B:B,[1]Adjustment!H:H,0,0)</f>
        <v>Agree</v>
      </c>
      <c r="B31" s="87">
        <v>2128</v>
      </c>
      <c r="C31" s="88">
        <v>3302128</v>
      </c>
      <c r="D31" s="98" t="s">
        <v>178</v>
      </c>
      <c r="E31" s="89" t="s">
        <v>179</v>
      </c>
      <c r="F31" s="101"/>
      <c r="G31" s="99"/>
      <c r="H31" s="88"/>
      <c r="I31" s="88"/>
      <c r="J31" s="88"/>
      <c r="K31" s="88"/>
      <c r="L31" s="88"/>
      <c r="M31" s="88"/>
      <c r="N31" s="88"/>
      <c r="O31" s="88"/>
      <c r="P31" s="88"/>
      <c r="Q31" s="88"/>
      <c r="R31" s="88"/>
      <c r="S31" s="92"/>
      <c r="T31" s="92"/>
      <c r="U31" s="92"/>
      <c r="V31" s="92"/>
      <c r="W31" s="92"/>
      <c r="X31" s="92"/>
      <c r="Y31" s="93">
        <v>238598.06</v>
      </c>
      <c r="Z31" s="93"/>
      <c r="AA31" s="93">
        <v>46024.45</v>
      </c>
      <c r="AB31" s="93">
        <v>1757940.97</v>
      </c>
      <c r="AC31" s="93">
        <v>0</v>
      </c>
      <c r="AD31" s="93">
        <v>231025</v>
      </c>
      <c r="AE31" s="93">
        <v>0</v>
      </c>
      <c r="AF31" s="93">
        <v>171690.5</v>
      </c>
      <c r="AG31" s="93">
        <v>856.93</v>
      </c>
      <c r="AH31" s="93">
        <v>0</v>
      </c>
      <c r="AI31" s="93">
        <v>0</v>
      </c>
      <c r="AJ31" s="93">
        <v>163956.16</v>
      </c>
      <c r="AK31" s="93">
        <v>34600.19</v>
      </c>
      <c r="AL31" s="93">
        <v>0</v>
      </c>
      <c r="AM31" s="93">
        <v>0</v>
      </c>
      <c r="AN31" s="93">
        <v>16502.759999999998</v>
      </c>
      <c r="AO31" s="93">
        <v>0</v>
      </c>
      <c r="AP31" s="93">
        <v>0</v>
      </c>
      <c r="AQ31" s="93">
        <v>0</v>
      </c>
      <c r="AR31" s="93">
        <v>0</v>
      </c>
      <c r="AS31" s="93">
        <v>0</v>
      </c>
      <c r="AT31" s="93">
        <v>0</v>
      </c>
      <c r="AU31" s="93">
        <v>33028.75</v>
      </c>
      <c r="AV31" s="93">
        <v>19645</v>
      </c>
      <c r="AW31" s="93">
        <v>1127059.3400000005</v>
      </c>
      <c r="AX31" s="93">
        <v>0</v>
      </c>
      <c r="AY31" s="93">
        <v>162944.44</v>
      </c>
      <c r="AZ31" s="93">
        <v>27675.09</v>
      </c>
      <c r="BA31" s="93">
        <v>101332.53</v>
      </c>
      <c r="BB31" s="93">
        <v>136332.92000000001</v>
      </c>
      <c r="BC31" s="93">
        <v>52331.19</v>
      </c>
      <c r="BD31" s="93">
        <v>0</v>
      </c>
      <c r="BE31" s="93">
        <v>7559.02</v>
      </c>
      <c r="BF31" s="93">
        <v>0</v>
      </c>
      <c r="BG31" s="93">
        <v>536.53</v>
      </c>
      <c r="BH31" s="93">
        <v>34679.839999999997</v>
      </c>
      <c r="BI31" s="93">
        <v>11877.3</v>
      </c>
      <c r="BJ31" s="93">
        <v>26091.18</v>
      </c>
      <c r="BK31" s="93">
        <v>7226.56</v>
      </c>
      <c r="BL31" s="93">
        <v>126899.81</v>
      </c>
      <c r="BM31" s="93">
        <v>18462.41</v>
      </c>
      <c r="BN31" s="93">
        <v>11513.54</v>
      </c>
      <c r="BO31" s="93">
        <v>35781.069999999585</v>
      </c>
      <c r="BP31" s="93">
        <v>28260.06</v>
      </c>
      <c r="BQ31" s="93">
        <v>0</v>
      </c>
      <c r="BR31" s="93">
        <v>43083.27</v>
      </c>
      <c r="BS31" s="93">
        <v>4895</v>
      </c>
      <c r="BT31" s="93">
        <v>8110.4</v>
      </c>
      <c r="BU31" s="93">
        <v>84096.45</v>
      </c>
      <c r="BV31" s="93">
        <v>113827.4</v>
      </c>
      <c r="BW31" s="93">
        <v>81103.539999999994</v>
      </c>
      <c r="BX31" s="93">
        <v>161015.26999999999</v>
      </c>
      <c r="BY31" s="93">
        <v>0</v>
      </c>
      <c r="BZ31" s="93">
        <v>0</v>
      </c>
      <c r="CA31" s="93"/>
      <c r="CB31" s="93">
        <v>0</v>
      </c>
      <c r="CC31" s="93">
        <v>0</v>
      </c>
      <c r="CD31" s="93">
        <v>8140</v>
      </c>
      <c r="CE31" s="93">
        <v>17402.14</v>
      </c>
      <c r="CF31" s="93">
        <v>0</v>
      </c>
      <c r="CG31" s="93">
        <v>0</v>
      </c>
      <c r="CH31" s="93">
        <v>0</v>
      </c>
      <c r="CI31" s="93">
        <v>0</v>
      </c>
      <c r="CJ31" s="93">
        <v>0</v>
      </c>
      <c r="CK31" s="93"/>
      <c r="CL31" s="93">
        <v>255150.15999999968</v>
      </c>
      <c r="CM31" s="93"/>
      <c r="CN31" s="93">
        <v>71566.59</v>
      </c>
      <c r="CO31" s="93">
        <v>0</v>
      </c>
      <c r="CP31" s="93">
        <v>0</v>
      </c>
      <c r="CQ31" s="93">
        <v>0</v>
      </c>
      <c r="CR31" s="100"/>
      <c r="CS31" s="95">
        <v>255150.16000000009</v>
      </c>
      <c r="CT31" s="95">
        <v>71566.59</v>
      </c>
      <c r="CU31" s="96">
        <v>255150.16</v>
      </c>
      <c r="CV31" s="96">
        <v>71566.59</v>
      </c>
      <c r="CW31" s="96">
        <v>0</v>
      </c>
      <c r="CX31" s="95">
        <v>0</v>
      </c>
      <c r="CY31" s="95">
        <v>326716.75</v>
      </c>
      <c r="CZ31" s="97">
        <v>-23033.86</v>
      </c>
      <c r="DA31" s="95">
        <v>-23033.86</v>
      </c>
      <c r="DB31" s="95">
        <v>0</v>
      </c>
      <c r="DC31" s="95">
        <v>-4.0000000415602699E-2</v>
      </c>
      <c r="DD31" s="96"/>
      <c r="DF31" s="95">
        <v>1.1641532182693481E-10</v>
      </c>
      <c r="DI31" s="95">
        <v>255150.16000000009</v>
      </c>
      <c r="DJ31" s="95">
        <v>71566.59</v>
      </c>
      <c r="DK31" s="96">
        <v>255150.16</v>
      </c>
      <c r="DL31" s="96">
        <v>71566.59</v>
      </c>
      <c r="DQ31" s="88">
        <v>3302128</v>
      </c>
      <c r="DT31" s="95">
        <f t="shared" si="2"/>
        <v>2429246.2599999998</v>
      </c>
      <c r="DU31" s="95">
        <f t="shared" si="3"/>
        <v>2412694.16</v>
      </c>
      <c r="DV31" s="95">
        <f t="shared" si="4"/>
        <v>16552.099999999627</v>
      </c>
      <c r="DW31" s="95">
        <f t="shared" si="5"/>
        <v>25542.14</v>
      </c>
      <c r="DX31" s="95">
        <f t="shared" si="6"/>
        <v>0</v>
      </c>
      <c r="DY31" s="95">
        <f t="shared" si="9"/>
        <v>25542.14</v>
      </c>
      <c r="EA31" s="95">
        <f t="shared" si="10"/>
        <v>238598.06</v>
      </c>
      <c r="EB31" s="95">
        <f t="shared" si="11"/>
        <v>16552.099999999627</v>
      </c>
      <c r="EC31" s="95">
        <f t="shared" si="12"/>
        <v>255150.15999999963</v>
      </c>
      <c r="ED31" s="95">
        <v>255150.15999999963</v>
      </c>
      <c r="EE31" s="95">
        <f t="shared" si="7"/>
        <v>0</v>
      </c>
      <c r="EF31" s="95"/>
      <c r="EG31" s="95">
        <f t="shared" si="13"/>
        <v>46024.45</v>
      </c>
      <c r="EH31" s="95">
        <f t="shared" si="8"/>
        <v>25542.14</v>
      </c>
      <c r="EI31" s="95">
        <f t="shared" si="14"/>
        <v>71566.59</v>
      </c>
      <c r="EJ31" s="97">
        <v>71566.59</v>
      </c>
      <c r="EK31" s="95">
        <f t="shared" si="15"/>
        <v>0</v>
      </c>
    </row>
    <row r="32" spans="1:141" s="87" customFormat="1" x14ac:dyDescent="0.35">
      <c r="A32" s="87" t="str">
        <f>_xlfn.XLOOKUP(C32,[1]Adjustment!B:B,[1]Adjustment!H:H,0,0)</f>
        <v>Agree</v>
      </c>
      <c r="B32" s="87">
        <v>2129</v>
      </c>
      <c r="C32" s="88">
        <v>3302129</v>
      </c>
      <c r="D32" s="98" t="s">
        <v>180</v>
      </c>
      <c r="E32" s="89" t="s">
        <v>181</v>
      </c>
      <c r="F32" s="101"/>
      <c r="G32" s="99"/>
      <c r="H32" s="88"/>
      <c r="I32" s="88"/>
      <c r="J32" s="88"/>
      <c r="K32" s="88"/>
      <c r="L32" s="88"/>
      <c r="M32" s="88"/>
      <c r="N32" s="88"/>
      <c r="O32" s="88"/>
      <c r="P32" s="88"/>
      <c r="Q32" s="88"/>
      <c r="R32" s="88"/>
      <c r="S32" s="92"/>
      <c r="T32" s="92"/>
      <c r="U32" s="92"/>
      <c r="V32" s="92"/>
      <c r="W32" s="92"/>
      <c r="X32" s="92"/>
      <c r="Y32" s="93">
        <v>199824.58</v>
      </c>
      <c r="Z32" s="93"/>
      <c r="AA32" s="93">
        <v>47845.39</v>
      </c>
      <c r="AB32" s="93">
        <v>1405745.4</v>
      </c>
      <c r="AC32" s="93">
        <v>0</v>
      </c>
      <c r="AD32" s="93">
        <v>253640.5</v>
      </c>
      <c r="AE32" s="93">
        <v>0</v>
      </c>
      <c r="AF32" s="93">
        <v>93456</v>
      </c>
      <c r="AG32" s="93">
        <v>856.93</v>
      </c>
      <c r="AH32" s="93">
        <v>0</v>
      </c>
      <c r="AI32" s="93">
        <v>0</v>
      </c>
      <c r="AJ32" s="93">
        <v>101715.24</v>
      </c>
      <c r="AK32" s="93">
        <v>45</v>
      </c>
      <c r="AL32" s="93">
        <v>0</v>
      </c>
      <c r="AM32" s="93">
        <v>0</v>
      </c>
      <c r="AN32" s="93">
        <v>8757.5499999999993</v>
      </c>
      <c r="AO32" s="93">
        <v>0</v>
      </c>
      <c r="AP32" s="93">
        <v>0</v>
      </c>
      <c r="AQ32" s="93">
        <v>0</v>
      </c>
      <c r="AR32" s="93">
        <v>0</v>
      </c>
      <c r="AS32" s="93">
        <v>0</v>
      </c>
      <c r="AT32" s="93">
        <v>0</v>
      </c>
      <c r="AU32" s="93">
        <v>17701.5</v>
      </c>
      <c r="AV32" s="93">
        <v>106505</v>
      </c>
      <c r="AW32" s="93">
        <v>775444.64000000048</v>
      </c>
      <c r="AX32" s="93">
        <v>0</v>
      </c>
      <c r="AY32" s="93">
        <v>236192.66</v>
      </c>
      <c r="AZ32" s="93">
        <v>72076.800000000003</v>
      </c>
      <c r="BA32" s="93">
        <v>163507.60999999999</v>
      </c>
      <c r="BB32" s="93">
        <v>0</v>
      </c>
      <c r="BC32" s="93">
        <v>86771.9</v>
      </c>
      <c r="BD32" s="93">
        <v>76.59</v>
      </c>
      <c r="BE32" s="93">
        <v>12000.33</v>
      </c>
      <c r="BF32" s="93">
        <v>0</v>
      </c>
      <c r="BG32" s="93">
        <v>197.3</v>
      </c>
      <c r="BH32" s="93">
        <v>28161.33</v>
      </c>
      <c r="BI32" s="93">
        <v>4560.7700000000004</v>
      </c>
      <c r="BJ32" s="93">
        <v>9429.1299999999992</v>
      </c>
      <c r="BK32" s="93">
        <v>2633.87</v>
      </c>
      <c r="BL32" s="93">
        <v>51708.58</v>
      </c>
      <c r="BM32" s="93">
        <v>17042.23</v>
      </c>
      <c r="BN32" s="93">
        <v>8653.94</v>
      </c>
      <c r="BO32" s="93">
        <v>31159.869999999661</v>
      </c>
      <c r="BP32" s="93">
        <v>25802.63</v>
      </c>
      <c r="BQ32" s="93">
        <v>0</v>
      </c>
      <c r="BR32" s="93">
        <v>28960.58</v>
      </c>
      <c r="BS32" s="93">
        <v>4895</v>
      </c>
      <c r="BT32" s="93">
        <v>0</v>
      </c>
      <c r="BU32" s="93">
        <v>81525</v>
      </c>
      <c r="BV32" s="93">
        <v>236596.88</v>
      </c>
      <c r="BW32" s="93">
        <v>5990.5</v>
      </c>
      <c r="BX32" s="93">
        <v>89241.07</v>
      </c>
      <c r="BY32" s="93">
        <v>0</v>
      </c>
      <c r="BZ32" s="93">
        <v>0</v>
      </c>
      <c r="CA32" s="93"/>
      <c r="CB32" s="93">
        <v>0</v>
      </c>
      <c r="CC32" s="93">
        <v>0</v>
      </c>
      <c r="CD32" s="93">
        <v>7172.5</v>
      </c>
      <c r="CE32" s="93">
        <v>15556.620000000003</v>
      </c>
      <c r="CF32" s="93">
        <v>0</v>
      </c>
      <c r="CG32" s="93">
        <v>0</v>
      </c>
      <c r="CH32" s="93">
        <v>0</v>
      </c>
      <c r="CI32" s="93">
        <v>0</v>
      </c>
      <c r="CJ32" s="93">
        <v>13376</v>
      </c>
      <c r="CK32" s="93"/>
      <c r="CL32" s="93">
        <v>215618.48999999953</v>
      </c>
      <c r="CM32" s="93"/>
      <c r="CN32" s="93">
        <v>57198.510000000009</v>
      </c>
      <c r="CO32" s="93">
        <v>0</v>
      </c>
      <c r="CP32" s="93">
        <v>0</v>
      </c>
      <c r="CQ32" s="93">
        <v>0</v>
      </c>
      <c r="CR32" s="100"/>
      <c r="CS32" s="95">
        <v>215618.49000000014</v>
      </c>
      <c r="CT32" s="95">
        <v>57198.51</v>
      </c>
      <c r="CU32" s="96">
        <v>215618.49</v>
      </c>
      <c r="CV32" s="96">
        <v>57198.51</v>
      </c>
      <c r="CW32" s="96">
        <v>0</v>
      </c>
      <c r="CX32" s="95">
        <v>0</v>
      </c>
      <c r="CY32" s="95">
        <v>272817</v>
      </c>
      <c r="CZ32" s="97">
        <v>10799.330000000002</v>
      </c>
      <c r="DA32" s="95">
        <v>10799.330000000002</v>
      </c>
      <c r="DB32" s="95">
        <v>0</v>
      </c>
      <c r="DC32" s="95">
        <v>-2.0000000338768587E-2</v>
      </c>
      <c r="DD32" s="96"/>
      <c r="DF32" s="95">
        <v>1.2369127944111824E-10</v>
      </c>
      <c r="DI32" s="95">
        <v>215618.49000000014</v>
      </c>
      <c r="DJ32" s="95">
        <v>57198.51</v>
      </c>
      <c r="DK32" s="96">
        <v>215618.49</v>
      </c>
      <c r="DL32" s="96">
        <v>57198.51</v>
      </c>
      <c r="DQ32" s="88">
        <v>3302129</v>
      </c>
      <c r="DT32" s="95">
        <f t="shared" si="2"/>
        <v>1988423.1199999999</v>
      </c>
      <c r="DU32" s="95">
        <f t="shared" si="3"/>
        <v>1972629.2100000002</v>
      </c>
      <c r="DV32" s="95">
        <f t="shared" si="4"/>
        <v>15793.909999999683</v>
      </c>
      <c r="DW32" s="95">
        <f t="shared" si="5"/>
        <v>22729.120000000003</v>
      </c>
      <c r="DX32" s="95">
        <f t="shared" si="6"/>
        <v>13376</v>
      </c>
      <c r="DY32" s="95">
        <f t="shared" si="9"/>
        <v>9353.1200000000026</v>
      </c>
      <c r="EA32" s="95">
        <f t="shared" si="10"/>
        <v>199824.58</v>
      </c>
      <c r="EB32" s="95">
        <f t="shared" si="11"/>
        <v>15793.909999999683</v>
      </c>
      <c r="EC32" s="95">
        <f t="shared" si="12"/>
        <v>215618.48999999967</v>
      </c>
      <c r="ED32" s="95">
        <v>215618.48999999967</v>
      </c>
      <c r="EE32" s="95">
        <f t="shared" si="7"/>
        <v>0</v>
      </c>
      <c r="EF32" s="95"/>
      <c r="EG32" s="95">
        <f t="shared" si="13"/>
        <v>47845.39</v>
      </c>
      <c r="EH32" s="95">
        <f t="shared" si="8"/>
        <v>9353.1200000000026</v>
      </c>
      <c r="EI32" s="95">
        <f t="shared" si="14"/>
        <v>57198.51</v>
      </c>
      <c r="EJ32" s="97">
        <v>57198.51</v>
      </c>
      <c r="EK32" s="95">
        <f t="shared" si="15"/>
        <v>0</v>
      </c>
    </row>
    <row r="33" spans="1:141" s="87" customFormat="1" x14ac:dyDescent="0.35">
      <c r="A33" s="87" t="str">
        <f>_xlfn.XLOOKUP(C33,[1]Adjustment!B:B,[1]Adjustment!H:H,0,0)</f>
        <v>Agree</v>
      </c>
      <c r="B33" s="87">
        <v>2150</v>
      </c>
      <c r="C33" s="88">
        <v>3302150</v>
      </c>
      <c r="D33" s="98" t="s">
        <v>182</v>
      </c>
      <c r="E33" s="89" t="s">
        <v>183</v>
      </c>
      <c r="F33" s="101"/>
      <c r="G33" s="99"/>
      <c r="H33" s="88"/>
      <c r="I33" s="88"/>
      <c r="J33" s="88"/>
      <c r="K33" s="88"/>
      <c r="L33" s="88"/>
      <c r="M33" s="88"/>
      <c r="N33" s="88"/>
      <c r="O33" s="88"/>
      <c r="P33" s="88"/>
      <c r="Q33" s="88"/>
      <c r="R33" s="88"/>
      <c r="S33" s="92"/>
      <c r="T33" s="92"/>
      <c r="U33" s="92"/>
      <c r="V33" s="92"/>
      <c r="W33" s="92"/>
      <c r="X33" s="92"/>
      <c r="Y33" s="93"/>
      <c r="Z33" s="93">
        <v>-277190.15999999997</v>
      </c>
      <c r="AA33" s="93">
        <v>50735.68</v>
      </c>
      <c r="AB33" s="93">
        <v>1790471.12</v>
      </c>
      <c r="AC33" s="93">
        <v>0</v>
      </c>
      <c r="AD33" s="93">
        <v>84868.15</v>
      </c>
      <c r="AE33" s="93">
        <v>0</v>
      </c>
      <c r="AF33" s="93">
        <v>203700</v>
      </c>
      <c r="AG33" s="93">
        <v>0</v>
      </c>
      <c r="AH33" s="93">
        <v>0</v>
      </c>
      <c r="AI33" s="93">
        <v>0</v>
      </c>
      <c r="AJ33" s="93">
        <v>30491.269999999327</v>
      </c>
      <c r="AK33" s="93">
        <v>0</v>
      </c>
      <c r="AL33" s="93">
        <v>0</v>
      </c>
      <c r="AM33" s="93">
        <v>0</v>
      </c>
      <c r="AN33" s="93">
        <v>6828</v>
      </c>
      <c r="AO33" s="93">
        <v>0</v>
      </c>
      <c r="AP33" s="93">
        <v>0</v>
      </c>
      <c r="AQ33" s="93">
        <v>0</v>
      </c>
      <c r="AR33" s="93">
        <v>0</v>
      </c>
      <c r="AS33" s="93">
        <v>0</v>
      </c>
      <c r="AT33" s="93">
        <v>0</v>
      </c>
      <c r="AU33" s="93">
        <v>11842.26</v>
      </c>
      <c r="AV33" s="93">
        <v>49379</v>
      </c>
      <c r="AW33" s="93">
        <v>1033155.8300000001</v>
      </c>
      <c r="AX33" s="93">
        <v>30636.02</v>
      </c>
      <c r="AY33" s="93">
        <v>392854.97</v>
      </c>
      <c r="AZ33" s="93">
        <v>61517.93</v>
      </c>
      <c r="BA33" s="93">
        <v>145986.63</v>
      </c>
      <c r="BB33" s="93">
        <v>0</v>
      </c>
      <c r="BC33" s="93">
        <v>62135.68</v>
      </c>
      <c r="BD33" s="93">
        <v>6376.96</v>
      </c>
      <c r="BE33" s="93">
        <v>0</v>
      </c>
      <c r="BF33" s="93">
        <v>0</v>
      </c>
      <c r="BG33" s="93">
        <v>0</v>
      </c>
      <c r="BH33" s="93">
        <v>25634.06</v>
      </c>
      <c r="BI33" s="93">
        <v>2879.59</v>
      </c>
      <c r="BJ33" s="93">
        <v>7741.19</v>
      </c>
      <c r="BK33" s="93">
        <v>9006.58</v>
      </c>
      <c r="BL33" s="93">
        <v>131665.44</v>
      </c>
      <c r="BM33" s="93">
        <v>0</v>
      </c>
      <c r="BN33" s="93">
        <v>8184.69</v>
      </c>
      <c r="BO33" s="93">
        <v>93919.13</v>
      </c>
      <c r="BP33" s="93">
        <v>0</v>
      </c>
      <c r="BQ33" s="93">
        <v>0</v>
      </c>
      <c r="BR33" s="93">
        <v>87600.02</v>
      </c>
      <c r="BS33" s="93">
        <v>4895</v>
      </c>
      <c r="BT33" s="93">
        <v>3380</v>
      </c>
      <c r="BU33" s="93">
        <v>88476.61</v>
      </c>
      <c r="BV33" s="93">
        <v>10639.82</v>
      </c>
      <c r="BW33" s="93">
        <v>0</v>
      </c>
      <c r="BX33" s="93">
        <v>95297.65</v>
      </c>
      <c r="BY33" s="93">
        <v>0</v>
      </c>
      <c r="BZ33" s="93">
        <v>0</v>
      </c>
      <c r="CA33" s="93"/>
      <c r="CB33" s="93">
        <v>0</v>
      </c>
      <c r="CC33" s="93">
        <v>0</v>
      </c>
      <c r="CD33" s="93">
        <v>8154.63</v>
      </c>
      <c r="CE33" s="93">
        <v>0</v>
      </c>
      <c r="CF33" s="93">
        <v>0</v>
      </c>
      <c r="CG33" s="93">
        <v>0</v>
      </c>
      <c r="CH33" s="93">
        <v>0</v>
      </c>
      <c r="CI33" s="93">
        <v>0</v>
      </c>
      <c r="CJ33" s="93">
        <v>17139.13</v>
      </c>
      <c r="CK33" s="93"/>
      <c r="CL33" s="93">
        <v>-401594.15999999992</v>
      </c>
      <c r="CM33" s="93"/>
      <c r="CN33" s="93">
        <v>41751.179999999993</v>
      </c>
      <c r="CO33" s="93">
        <v>0</v>
      </c>
      <c r="CP33" s="93">
        <v>0</v>
      </c>
      <c r="CQ33" s="93">
        <v>0</v>
      </c>
      <c r="CR33" s="100"/>
      <c r="CS33" s="95">
        <v>-462323.72000000003</v>
      </c>
      <c r="CT33" s="95">
        <v>0</v>
      </c>
      <c r="CU33" s="96">
        <v>-394448.54</v>
      </c>
      <c r="CV33" s="96">
        <v>-67875.179999999993</v>
      </c>
      <c r="CW33" s="96">
        <v>-67875.180000000051</v>
      </c>
      <c r="CX33" s="95">
        <v>-67875.179999999993</v>
      </c>
      <c r="CY33" s="95">
        <v>-462323.72</v>
      </c>
      <c r="CZ33" s="97">
        <v>0</v>
      </c>
      <c r="DA33" s="95">
        <v>0</v>
      </c>
      <c r="DB33" s="95">
        <v>29046.850000000675</v>
      </c>
      <c r="DC33" s="95">
        <v>0</v>
      </c>
      <c r="DD33" s="96">
        <v>-67875.179999999993</v>
      </c>
      <c r="DF33" s="95">
        <v>0</v>
      </c>
      <c r="DI33" s="95">
        <v>-462323.72000000003</v>
      </c>
      <c r="DJ33" s="95">
        <v>0</v>
      </c>
      <c r="DK33" s="96">
        <v>-394448.54</v>
      </c>
      <c r="DL33" s="96">
        <v>-67875.179999999993</v>
      </c>
      <c r="DQ33" s="88">
        <v>3302150</v>
      </c>
      <c r="DT33" s="95">
        <f t="shared" si="2"/>
        <v>2177579.7999999993</v>
      </c>
      <c r="DU33" s="95">
        <f t="shared" si="3"/>
        <v>2301983.7999999993</v>
      </c>
      <c r="DV33" s="95">
        <f t="shared" si="4"/>
        <v>-124404</v>
      </c>
      <c r="DW33" s="95">
        <f t="shared" si="5"/>
        <v>8154.63</v>
      </c>
      <c r="DX33" s="95">
        <f t="shared" si="6"/>
        <v>17139.13</v>
      </c>
      <c r="DY33" s="95">
        <f t="shared" si="9"/>
        <v>-8984.5</v>
      </c>
      <c r="EA33" s="95">
        <f t="shared" si="10"/>
        <v>-277190.15999999997</v>
      </c>
      <c r="EB33" s="95">
        <f t="shared" si="11"/>
        <v>-124404</v>
      </c>
      <c r="EC33" s="95">
        <f t="shared" si="12"/>
        <v>-401594.16</v>
      </c>
      <c r="ED33" s="95">
        <v>-401594.16</v>
      </c>
      <c r="EE33" s="95">
        <f t="shared" si="7"/>
        <v>0</v>
      </c>
      <c r="EF33" s="95"/>
      <c r="EG33" s="95">
        <f t="shared" si="13"/>
        <v>50735.68</v>
      </c>
      <c r="EH33" s="95">
        <f t="shared" si="8"/>
        <v>-8984.5</v>
      </c>
      <c r="EI33" s="95">
        <f t="shared" si="14"/>
        <v>41751.18</v>
      </c>
      <c r="EJ33" s="97">
        <v>41751.18</v>
      </c>
      <c r="EK33" s="95">
        <f t="shared" si="15"/>
        <v>0</v>
      </c>
    </row>
    <row r="34" spans="1:141" s="87" customFormat="1" x14ac:dyDescent="0.35">
      <c r="A34" s="87" t="str">
        <f>_xlfn.XLOOKUP(C34,[1]Adjustment!B:B,[1]Adjustment!H:H,0,0)</f>
        <v>Agree</v>
      </c>
      <c r="B34" s="87">
        <v>2153</v>
      </c>
      <c r="C34" s="88">
        <v>3302153</v>
      </c>
      <c r="D34" s="98" t="s">
        <v>184</v>
      </c>
      <c r="E34" s="89" t="s">
        <v>185</v>
      </c>
      <c r="F34" s="101"/>
      <c r="G34" s="99"/>
      <c r="H34" s="88"/>
      <c r="I34" s="88"/>
      <c r="J34" s="88"/>
      <c r="K34" s="88"/>
      <c r="L34" s="88"/>
      <c r="M34" s="88"/>
      <c r="N34" s="88"/>
      <c r="O34" s="88"/>
      <c r="P34" s="88"/>
      <c r="Q34" s="88"/>
      <c r="R34" s="88"/>
      <c r="S34" s="92"/>
      <c r="T34" s="92"/>
      <c r="U34" s="92"/>
      <c r="V34" s="92"/>
      <c r="W34" s="92"/>
      <c r="X34" s="92"/>
      <c r="Y34" s="93">
        <v>197319.9</v>
      </c>
      <c r="Z34" s="93"/>
      <c r="AA34" s="93">
        <v>0</v>
      </c>
      <c r="AB34" s="93">
        <v>2383325.39</v>
      </c>
      <c r="AC34" s="93">
        <v>0</v>
      </c>
      <c r="AD34" s="93">
        <v>267814</v>
      </c>
      <c r="AE34" s="93">
        <v>0</v>
      </c>
      <c r="AF34" s="93">
        <v>351285.5</v>
      </c>
      <c r="AG34" s="93">
        <v>8913.86</v>
      </c>
      <c r="AH34" s="93">
        <v>0</v>
      </c>
      <c r="AI34" s="93">
        <v>0</v>
      </c>
      <c r="AJ34" s="93">
        <v>461946.23999999993</v>
      </c>
      <c r="AK34" s="93">
        <v>0</v>
      </c>
      <c r="AL34" s="93">
        <v>0</v>
      </c>
      <c r="AM34" s="93">
        <v>0</v>
      </c>
      <c r="AN34" s="93">
        <v>10849.35</v>
      </c>
      <c r="AO34" s="93">
        <v>0</v>
      </c>
      <c r="AP34" s="93">
        <v>0</v>
      </c>
      <c r="AQ34" s="93">
        <v>0</v>
      </c>
      <c r="AR34" s="93">
        <v>0</v>
      </c>
      <c r="AS34" s="93">
        <v>0</v>
      </c>
      <c r="AT34" s="93">
        <v>0</v>
      </c>
      <c r="AU34" s="93">
        <v>37140.629999999997</v>
      </c>
      <c r="AV34" s="93">
        <v>54802</v>
      </c>
      <c r="AW34" s="93">
        <v>1010297.1899999995</v>
      </c>
      <c r="AX34" s="93">
        <v>0</v>
      </c>
      <c r="AY34" s="93">
        <v>797958.77</v>
      </c>
      <c r="AZ34" s="93">
        <v>0</v>
      </c>
      <c r="BA34" s="93">
        <v>226932.6</v>
      </c>
      <c r="BB34" s="93">
        <v>96553.19</v>
      </c>
      <c r="BC34" s="93">
        <v>135473.04</v>
      </c>
      <c r="BD34" s="93">
        <v>75.599999999999994</v>
      </c>
      <c r="BE34" s="93">
        <v>16607.61</v>
      </c>
      <c r="BF34" s="93">
        <v>0</v>
      </c>
      <c r="BG34" s="93">
        <v>0</v>
      </c>
      <c r="BH34" s="93">
        <v>266953.92</v>
      </c>
      <c r="BI34" s="93">
        <v>11597.28</v>
      </c>
      <c r="BJ34" s="93">
        <v>45024.11</v>
      </c>
      <c r="BK34" s="93">
        <v>0</v>
      </c>
      <c r="BL34" s="93">
        <v>53348.2</v>
      </c>
      <c r="BM34" s="93">
        <v>0</v>
      </c>
      <c r="BN34" s="93">
        <v>742.54</v>
      </c>
      <c r="BO34" s="93">
        <v>120860.86</v>
      </c>
      <c r="BP34" s="93">
        <v>12323.11</v>
      </c>
      <c r="BQ34" s="93">
        <v>0</v>
      </c>
      <c r="BR34" s="93">
        <v>75351.490000000005</v>
      </c>
      <c r="BS34" s="93">
        <v>10129.719999999999</v>
      </c>
      <c r="BT34" s="93">
        <v>0</v>
      </c>
      <c r="BU34" s="93">
        <v>61674.559999999998</v>
      </c>
      <c r="BV34" s="93">
        <v>123347.36</v>
      </c>
      <c r="BW34" s="93">
        <v>220</v>
      </c>
      <c r="BX34" s="93">
        <v>218494.39</v>
      </c>
      <c r="BY34" s="93">
        <v>0</v>
      </c>
      <c r="BZ34" s="93">
        <v>0</v>
      </c>
      <c r="CA34" s="93"/>
      <c r="CB34" s="93">
        <v>0</v>
      </c>
      <c r="CC34" s="93">
        <v>0</v>
      </c>
      <c r="CD34" s="93">
        <v>8511.25</v>
      </c>
      <c r="CE34" s="93">
        <v>0</v>
      </c>
      <c r="CF34" s="93">
        <v>0</v>
      </c>
      <c r="CG34" s="93">
        <v>0</v>
      </c>
      <c r="CH34" s="93">
        <v>0</v>
      </c>
      <c r="CI34" s="93">
        <v>0</v>
      </c>
      <c r="CJ34" s="93">
        <v>0</v>
      </c>
      <c r="CK34" s="93"/>
      <c r="CL34" s="93">
        <v>489431.33000000007</v>
      </c>
      <c r="CM34" s="93"/>
      <c r="CN34" s="93">
        <v>8511.25</v>
      </c>
      <c r="CO34" s="93">
        <v>0</v>
      </c>
      <c r="CP34" s="93">
        <v>0</v>
      </c>
      <c r="CQ34" s="93">
        <v>0</v>
      </c>
      <c r="CR34" s="100"/>
      <c r="CS34" s="95">
        <v>139431.3299999997</v>
      </c>
      <c r="CT34" s="95">
        <v>392994.7</v>
      </c>
      <c r="CU34" s="96">
        <v>139431.32999999999</v>
      </c>
      <c r="CV34" s="96">
        <v>392994.7</v>
      </c>
      <c r="CW34" s="96">
        <v>-2.9103830456733704E-10</v>
      </c>
      <c r="CX34" s="95">
        <v>0</v>
      </c>
      <c r="CY34" s="95">
        <v>532426.03</v>
      </c>
      <c r="CZ34" s="97">
        <v>-17241.789999999979</v>
      </c>
      <c r="DA34" s="95">
        <v>-17241.789999999979</v>
      </c>
      <c r="DB34" s="95">
        <v>0.13000000006286427</v>
      </c>
      <c r="DC34" s="95">
        <v>0</v>
      </c>
      <c r="DD34" s="96"/>
      <c r="DF34" s="95">
        <v>0</v>
      </c>
      <c r="DI34" s="95">
        <v>139431.3299999997</v>
      </c>
      <c r="DJ34" s="95">
        <v>392994.7</v>
      </c>
      <c r="DK34" s="96">
        <v>139431.32999999999</v>
      </c>
      <c r="DL34" s="96">
        <v>392994.7</v>
      </c>
      <c r="DQ34" s="88">
        <v>3302153</v>
      </c>
      <c r="DT34" s="95">
        <f t="shared" si="2"/>
        <v>3576076.9699999997</v>
      </c>
      <c r="DU34" s="95">
        <f t="shared" si="3"/>
        <v>3283965.5399999996</v>
      </c>
      <c r="DV34" s="95">
        <f t="shared" si="4"/>
        <v>292111.43000000017</v>
      </c>
      <c r="DW34" s="95">
        <f t="shared" si="5"/>
        <v>8511.25</v>
      </c>
      <c r="DX34" s="95">
        <f t="shared" si="6"/>
        <v>0</v>
      </c>
      <c r="DY34" s="95">
        <f t="shared" si="9"/>
        <v>8511.25</v>
      </c>
      <c r="EA34" s="95">
        <f t="shared" si="10"/>
        <v>197319.9</v>
      </c>
      <c r="EB34" s="95">
        <f t="shared" si="11"/>
        <v>292111.43000000017</v>
      </c>
      <c r="EC34" s="95">
        <f t="shared" si="12"/>
        <v>489431.33000000019</v>
      </c>
      <c r="ED34" s="95">
        <v>489431.33000000019</v>
      </c>
      <c r="EE34" s="95">
        <f t="shared" si="7"/>
        <v>0</v>
      </c>
      <c r="EF34" s="95"/>
      <c r="EG34" s="95">
        <f t="shared" si="13"/>
        <v>0</v>
      </c>
      <c r="EH34" s="95">
        <f t="shared" si="8"/>
        <v>8511.25</v>
      </c>
      <c r="EI34" s="95">
        <f t="shared" si="14"/>
        <v>8511.25</v>
      </c>
      <c r="EJ34" s="97">
        <v>8511</v>
      </c>
      <c r="EK34" s="95">
        <f t="shared" si="15"/>
        <v>-0.25</v>
      </c>
    </row>
    <row r="35" spans="1:141" s="87" customFormat="1" x14ac:dyDescent="0.35">
      <c r="A35" s="87" t="str">
        <f>_xlfn.XLOOKUP(C35,[1]Adjustment!B:B,[1]Adjustment!H:H,0,0)</f>
        <v>Agree</v>
      </c>
      <c r="B35" s="87">
        <v>2159</v>
      </c>
      <c r="C35" s="88">
        <v>3302159</v>
      </c>
      <c r="D35" s="98" t="s">
        <v>186</v>
      </c>
      <c r="E35" s="89" t="s">
        <v>187</v>
      </c>
      <c r="F35" s="101"/>
      <c r="G35" s="99"/>
      <c r="H35" s="88"/>
      <c r="I35" s="88"/>
      <c r="J35" s="88"/>
      <c r="K35" s="88"/>
      <c r="L35" s="88"/>
      <c r="M35" s="88"/>
      <c r="N35" s="88"/>
      <c r="O35" s="88"/>
      <c r="P35" s="88"/>
      <c r="Q35" s="88"/>
      <c r="R35" s="88"/>
      <c r="S35" s="92"/>
      <c r="T35" s="92"/>
      <c r="U35" s="92"/>
      <c r="V35" s="92"/>
      <c r="W35" s="92"/>
      <c r="X35" s="92"/>
      <c r="Y35" s="93"/>
      <c r="Z35" s="93">
        <v>-17638.41</v>
      </c>
      <c r="AA35" s="93">
        <v>2909.04</v>
      </c>
      <c r="AB35" s="93">
        <v>1202972.02</v>
      </c>
      <c r="AC35" s="93">
        <v>0</v>
      </c>
      <c r="AD35" s="93">
        <v>56575.45</v>
      </c>
      <c r="AE35" s="93">
        <v>0</v>
      </c>
      <c r="AF35" s="93">
        <v>132025.5</v>
      </c>
      <c r="AG35" s="93">
        <v>856.93</v>
      </c>
      <c r="AH35" s="93">
        <v>0</v>
      </c>
      <c r="AI35" s="93">
        <v>0</v>
      </c>
      <c r="AJ35" s="93">
        <v>18901.96</v>
      </c>
      <c r="AK35" s="93">
        <v>0</v>
      </c>
      <c r="AL35" s="93">
        <v>0</v>
      </c>
      <c r="AM35" s="93">
        <v>0</v>
      </c>
      <c r="AN35" s="93">
        <v>0</v>
      </c>
      <c r="AO35" s="93">
        <v>0</v>
      </c>
      <c r="AP35" s="93">
        <v>0</v>
      </c>
      <c r="AQ35" s="93">
        <v>0</v>
      </c>
      <c r="AR35" s="93">
        <v>0</v>
      </c>
      <c r="AS35" s="93">
        <v>0</v>
      </c>
      <c r="AT35" s="93">
        <v>0</v>
      </c>
      <c r="AU35" s="93">
        <v>16575.759999999998</v>
      </c>
      <c r="AV35" s="93">
        <v>40761</v>
      </c>
      <c r="AW35" s="93">
        <v>631190.92000000004</v>
      </c>
      <c r="AX35" s="93">
        <v>2438.06</v>
      </c>
      <c r="AY35" s="93">
        <v>254034.71</v>
      </c>
      <c r="AZ35" s="93">
        <v>0</v>
      </c>
      <c r="BA35" s="93">
        <v>129141.02</v>
      </c>
      <c r="BB35" s="93">
        <v>0</v>
      </c>
      <c r="BC35" s="93">
        <v>38016.019999999997</v>
      </c>
      <c r="BD35" s="93">
        <v>183</v>
      </c>
      <c r="BE35" s="93">
        <v>645</v>
      </c>
      <c r="BF35" s="93">
        <v>0</v>
      </c>
      <c r="BG35" s="93">
        <v>705.4</v>
      </c>
      <c r="BH35" s="93">
        <v>16122.78</v>
      </c>
      <c r="BI35" s="93">
        <v>498.13</v>
      </c>
      <c r="BJ35" s="93">
        <v>23040.5</v>
      </c>
      <c r="BK35" s="93">
        <v>1654.55</v>
      </c>
      <c r="BL35" s="93">
        <v>44629.99</v>
      </c>
      <c r="BM35" s="93">
        <v>0</v>
      </c>
      <c r="BN35" s="93">
        <v>4075.59</v>
      </c>
      <c r="BO35" s="93">
        <v>21207.470000000008</v>
      </c>
      <c r="BP35" s="93">
        <v>10185.280000000001</v>
      </c>
      <c r="BQ35" s="93">
        <v>0</v>
      </c>
      <c r="BR35" s="93">
        <v>9361.5300000000007</v>
      </c>
      <c r="BS35" s="93">
        <v>4895</v>
      </c>
      <c r="BT35" s="93">
        <v>3726.4</v>
      </c>
      <c r="BU35" s="93">
        <v>77995.759999999995</v>
      </c>
      <c r="BV35" s="93">
        <v>66276.83</v>
      </c>
      <c r="BW35" s="93">
        <v>0</v>
      </c>
      <c r="BX35" s="93">
        <v>104992.41</v>
      </c>
      <c r="BY35" s="93">
        <v>0</v>
      </c>
      <c r="BZ35" s="93">
        <v>0</v>
      </c>
      <c r="CA35" s="93"/>
      <c r="CB35" s="93">
        <v>0</v>
      </c>
      <c r="CC35" s="93">
        <v>0</v>
      </c>
      <c r="CD35" s="93">
        <v>6385</v>
      </c>
      <c r="CE35" s="93">
        <v>0</v>
      </c>
      <c r="CF35" s="93">
        <v>0</v>
      </c>
      <c r="CG35" s="93">
        <v>0</v>
      </c>
      <c r="CH35" s="93">
        <v>0</v>
      </c>
      <c r="CI35" s="93">
        <v>6385</v>
      </c>
      <c r="CJ35" s="93">
        <v>0</v>
      </c>
      <c r="CK35" s="93"/>
      <c r="CL35" s="93">
        <v>6013.8600000001024</v>
      </c>
      <c r="CM35" s="93"/>
      <c r="CN35" s="93">
        <v>2909.0400000000009</v>
      </c>
      <c r="CO35" s="93">
        <v>0</v>
      </c>
      <c r="CP35" s="93">
        <v>0</v>
      </c>
      <c r="CQ35" s="93">
        <v>0</v>
      </c>
      <c r="CR35" s="100"/>
      <c r="CS35" s="95">
        <v>6013.8600000000188</v>
      </c>
      <c r="CT35" s="95">
        <v>2909.04</v>
      </c>
      <c r="CU35" s="96">
        <v>6013.86</v>
      </c>
      <c r="CV35" s="96">
        <v>2909.04</v>
      </c>
      <c r="CW35" s="96">
        <v>1.9099388737231493E-11</v>
      </c>
      <c r="CX35" s="95">
        <v>0</v>
      </c>
      <c r="CY35" s="95">
        <v>8922.9</v>
      </c>
      <c r="CZ35" s="97">
        <v>0</v>
      </c>
      <c r="DA35" s="95">
        <v>0</v>
      </c>
      <c r="DB35" s="95">
        <v>0</v>
      </c>
      <c r="DC35" s="95">
        <v>-9.999999990213837E-3</v>
      </c>
      <c r="DD35" s="96"/>
      <c r="DF35" s="95">
        <v>2.0008883439004421E-11</v>
      </c>
      <c r="DI35" s="95">
        <v>6013.8600000000188</v>
      </c>
      <c r="DJ35" s="95">
        <v>2909.04</v>
      </c>
      <c r="DK35" s="96">
        <v>6013.86</v>
      </c>
      <c r="DL35" s="96">
        <v>2909.04</v>
      </c>
      <c r="DQ35" s="88">
        <v>3302159</v>
      </c>
      <c r="DT35" s="95">
        <f t="shared" si="2"/>
        <v>1468668.6199999999</v>
      </c>
      <c r="DU35" s="95">
        <f t="shared" si="3"/>
        <v>1445016.3499999999</v>
      </c>
      <c r="DV35" s="95">
        <f t="shared" si="4"/>
        <v>23652.270000000019</v>
      </c>
      <c r="DW35" s="95">
        <f t="shared" si="5"/>
        <v>6385</v>
      </c>
      <c r="DX35" s="95">
        <f t="shared" si="6"/>
        <v>6385</v>
      </c>
      <c r="DY35" s="95">
        <f t="shared" si="9"/>
        <v>0</v>
      </c>
      <c r="EA35" s="95">
        <f t="shared" si="10"/>
        <v>-17638.41</v>
      </c>
      <c r="EB35" s="95">
        <f t="shared" si="11"/>
        <v>23652.270000000019</v>
      </c>
      <c r="EC35" s="95">
        <f t="shared" si="12"/>
        <v>6013.8600000000188</v>
      </c>
      <c r="ED35" s="95">
        <v>6013.8600000000188</v>
      </c>
      <c r="EE35" s="95">
        <f t="shared" si="7"/>
        <v>0</v>
      </c>
      <c r="EF35" s="95"/>
      <c r="EG35" s="95">
        <f t="shared" si="13"/>
        <v>2909.04</v>
      </c>
      <c r="EH35" s="95">
        <f t="shared" si="8"/>
        <v>0</v>
      </c>
      <c r="EI35" s="95">
        <f t="shared" si="14"/>
        <v>2909.04</v>
      </c>
      <c r="EJ35" s="97">
        <v>2909.04</v>
      </c>
      <c r="EK35" s="95">
        <f t="shared" si="15"/>
        <v>0</v>
      </c>
    </row>
    <row r="36" spans="1:141" s="87" customFormat="1" x14ac:dyDescent="0.35">
      <c r="A36" s="87" t="str">
        <f>_xlfn.XLOOKUP(C36,[1]Adjustment!B:B,[1]Adjustment!H:H,0,0)</f>
        <v>Agree</v>
      </c>
      <c r="B36" s="87">
        <v>2161</v>
      </c>
      <c r="C36" s="88">
        <v>3302161</v>
      </c>
      <c r="D36" s="98" t="s">
        <v>188</v>
      </c>
      <c r="E36" s="89" t="s">
        <v>189</v>
      </c>
      <c r="F36" s="101"/>
      <c r="G36" s="99"/>
      <c r="H36" s="88"/>
      <c r="I36" s="88"/>
      <c r="J36" s="88"/>
      <c r="K36" s="88"/>
      <c r="L36" s="88"/>
      <c r="M36" s="88"/>
      <c r="N36" s="88"/>
      <c r="O36" s="88"/>
      <c r="P36" s="88"/>
      <c r="Q36" s="88"/>
      <c r="R36" s="88"/>
      <c r="S36" s="92"/>
      <c r="T36" s="92"/>
      <c r="U36" s="92"/>
      <c r="V36" s="92"/>
      <c r="W36" s="92"/>
      <c r="X36" s="92"/>
      <c r="Y36" s="93">
        <v>265568.65000000002</v>
      </c>
      <c r="Z36" s="93"/>
      <c r="AA36" s="93">
        <v>37610</v>
      </c>
      <c r="AB36" s="93">
        <v>1504079.96</v>
      </c>
      <c r="AC36" s="93">
        <v>0</v>
      </c>
      <c r="AD36" s="93">
        <v>56690</v>
      </c>
      <c r="AE36" s="93">
        <v>0</v>
      </c>
      <c r="AF36" s="93">
        <v>175676.5</v>
      </c>
      <c r="AG36" s="93">
        <v>0</v>
      </c>
      <c r="AH36" s="93">
        <v>0</v>
      </c>
      <c r="AI36" s="93">
        <v>0</v>
      </c>
      <c r="AJ36" s="93">
        <v>26854.9</v>
      </c>
      <c r="AK36" s="93">
        <v>0</v>
      </c>
      <c r="AL36" s="93">
        <v>0</v>
      </c>
      <c r="AM36" s="93">
        <v>0</v>
      </c>
      <c r="AN36" s="93">
        <v>0</v>
      </c>
      <c r="AO36" s="93">
        <v>0</v>
      </c>
      <c r="AP36" s="93">
        <v>0</v>
      </c>
      <c r="AQ36" s="93">
        <v>0</v>
      </c>
      <c r="AR36" s="93">
        <v>0</v>
      </c>
      <c r="AS36" s="93">
        <v>0</v>
      </c>
      <c r="AT36" s="93">
        <v>0</v>
      </c>
      <c r="AU36" s="93">
        <v>14249.56</v>
      </c>
      <c r="AV36" s="93">
        <v>79202</v>
      </c>
      <c r="AW36" s="93">
        <v>771981.6199999993</v>
      </c>
      <c r="AX36" s="93">
        <v>0</v>
      </c>
      <c r="AY36" s="93">
        <v>351976.28</v>
      </c>
      <c r="AZ36" s="93">
        <v>35958.22</v>
      </c>
      <c r="BA36" s="93">
        <v>142699.22</v>
      </c>
      <c r="BB36" s="93">
        <v>0</v>
      </c>
      <c r="BC36" s="93">
        <v>73682.320000000007</v>
      </c>
      <c r="BD36" s="93">
        <v>0</v>
      </c>
      <c r="BE36" s="93">
        <v>4118</v>
      </c>
      <c r="BF36" s="93">
        <v>0</v>
      </c>
      <c r="BG36" s="93">
        <v>252</v>
      </c>
      <c r="BH36" s="93">
        <v>14018.97</v>
      </c>
      <c r="BI36" s="93">
        <v>1924.93</v>
      </c>
      <c r="BJ36" s="93">
        <v>4111.66</v>
      </c>
      <c r="BK36" s="93">
        <v>3135.52</v>
      </c>
      <c r="BL36" s="93">
        <v>28135.18</v>
      </c>
      <c r="BM36" s="93">
        <v>0</v>
      </c>
      <c r="BN36" s="93">
        <v>3553.74</v>
      </c>
      <c r="BO36" s="93">
        <v>56852.890000000421</v>
      </c>
      <c r="BP36" s="93">
        <v>204.97</v>
      </c>
      <c r="BQ36" s="93">
        <v>96.16</v>
      </c>
      <c r="BR36" s="93">
        <v>8551.56</v>
      </c>
      <c r="BS36" s="93">
        <v>4895</v>
      </c>
      <c r="BT36" s="93">
        <v>0</v>
      </c>
      <c r="BU36" s="93">
        <v>101136.53</v>
      </c>
      <c r="BV36" s="93">
        <v>156445.56</v>
      </c>
      <c r="BW36" s="93">
        <v>0</v>
      </c>
      <c r="BX36" s="93">
        <v>61914.64</v>
      </c>
      <c r="BY36" s="93">
        <v>0</v>
      </c>
      <c r="BZ36" s="93">
        <v>0</v>
      </c>
      <c r="CA36" s="93"/>
      <c r="CB36" s="93">
        <v>0</v>
      </c>
      <c r="CC36" s="93">
        <v>0</v>
      </c>
      <c r="CD36" s="93">
        <v>7098.25</v>
      </c>
      <c r="CE36" s="93">
        <v>0</v>
      </c>
      <c r="CF36" s="93">
        <v>0</v>
      </c>
      <c r="CG36" s="93">
        <v>0</v>
      </c>
      <c r="CH36" s="93">
        <v>0</v>
      </c>
      <c r="CI36" s="93">
        <v>0</v>
      </c>
      <c r="CJ36" s="93">
        <v>29295.49</v>
      </c>
      <c r="CK36" s="93"/>
      <c r="CL36" s="93">
        <v>296676.60000000033</v>
      </c>
      <c r="CM36" s="93"/>
      <c r="CN36" s="93">
        <v>15412.759999999998</v>
      </c>
      <c r="CO36" s="93">
        <v>0</v>
      </c>
      <c r="CP36" s="93">
        <v>0</v>
      </c>
      <c r="CQ36" s="93">
        <v>0</v>
      </c>
      <c r="CR36" s="100"/>
      <c r="CS36" s="95">
        <v>257799.86</v>
      </c>
      <c r="CT36" s="95">
        <v>0</v>
      </c>
      <c r="CU36" s="96">
        <v>296676.59999999998</v>
      </c>
      <c r="CV36" s="96">
        <v>-38876.74</v>
      </c>
      <c r="CW36" s="96">
        <v>-38876.739999999991</v>
      </c>
      <c r="CX36" s="95">
        <v>-38876.74</v>
      </c>
      <c r="CY36" s="95">
        <v>257799.86</v>
      </c>
      <c r="CZ36" s="97">
        <v>0</v>
      </c>
      <c r="DA36" s="95">
        <v>0</v>
      </c>
      <c r="DB36" s="95">
        <v>0</v>
      </c>
      <c r="DC36" s="95">
        <v>-4.9999999580904841E-2</v>
      </c>
      <c r="DD36" s="96">
        <v>-38876.74</v>
      </c>
      <c r="DF36" s="95">
        <v>0</v>
      </c>
      <c r="DI36" s="95">
        <v>257799.86</v>
      </c>
      <c r="DJ36" s="95">
        <v>0</v>
      </c>
      <c r="DK36" s="96">
        <v>296676.59999999998</v>
      </c>
      <c r="DL36" s="96">
        <v>-38876.74</v>
      </c>
      <c r="DQ36" s="88">
        <v>3302161</v>
      </c>
      <c r="DT36" s="95">
        <f t="shared" si="2"/>
        <v>1856752.92</v>
      </c>
      <c r="DU36" s="95">
        <f t="shared" si="3"/>
        <v>1825644.9699999995</v>
      </c>
      <c r="DV36" s="95">
        <f t="shared" si="4"/>
        <v>31107.950000000419</v>
      </c>
      <c r="DW36" s="95">
        <f t="shared" si="5"/>
        <v>7098.25</v>
      </c>
      <c r="DX36" s="95">
        <f t="shared" si="6"/>
        <v>29295.49</v>
      </c>
      <c r="DY36" s="95">
        <f t="shared" si="9"/>
        <v>-22197.24</v>
      </c>
      <c r="EA36" s="95">
        <f t="shared" si="10"/>
        <v>265568.65000000002</v>
      </c>
      <c r="EB36" s="95">
        <f t="shared" si="11"/>
        <v>31107.950000000419</v>
      </c>
      <c r="EC36" s="95">
        <f t="shared" si="12"/>
        <v>296676.60000000044</v>
      </c>
      <c r="ED36" s="95">
        <v>296676.60000000044</v>
      </c>
      <c r="EE36" s="95">
        <f t="shared" si="7"/>
        <v>0</v>
      </c>
      <c r="EF36" s="95"/>
      <c r="EG36" s="95">
        <f t="shared" si="13"/>
        <v>37610</v>
      </c>
      <c r="EH36" s="95">
        <f t="shared" si="8"/>
        <v>-22197.24</v>
      </c>
      <c r="EI36" s="95">
        <f t="shared" si="14"/>
        <v>15412.759999999998</v>
      </c>
      <c r="EJ36" s="97">
        <v>15412.759999999998</v>
      </c>
      <c r="EK36" s="95">
        <f t="shared" si="15"/>
        <v>0</v>
      </c>
    </row>
    <row r="37" spans="1:141" s="87" customFormat="1" x14ac:dyDescent="0.35">
      <c r="A37" s="87" t="str">
        <f>_xlfn.XLOOKUP(C37,[1]Adjustment!B:B,[1]Adjustment!H:H,0,0)</f>
        <v>Agree</v>
      </c>
      <c r="B37" s="87">
        <v>2169</v>
      </c>
      <c r="C37" s="88">
        <v>3302169</v>
      </c>
      <c r="D37" s="98" t="s">
        <v>190</v>
      </c>
      <c r="E37" s="89" t="s">
        <v>191</v>
      </c>
      <c r="F37" s="101"/>
      <c r="G37" s="99"/>
      <c r="H37" s="88"/>
      <c r="I37" s="88"/>
      <c r="J37" s="88"/>
      <c r="K37" s="88"/>
      <c r="L37" s="88"/>
      <c r="M37" s="88"/>
      <c r="N37" s="88"/>
      <c r="O37" s="88"/>
      <c r="P37" s="88"/>
      <c r="Q37" s="88"/>
      <c r="R37" s="88"/>
      <c r="S37" s="92"/>
      <c r="T37" s="92"/>
      <c r="U37" s="92"/>
      <c r="V37" s="92"/>
      <c r="W37" s="92"/>
      <c r="X37" s="92"/>
      <c r="Y37" s="93">
        <v>333530.73</v>
      </c>
      <c r="Z37" s="93"/>
      <c r="AA37" s="93">
        <v>33057</v>
      </c>
      <c r="AB37" s="93">
        <v>2219514.23</v>
      </c>
      <c r="AC37" s="93">
        <v>0</v>
      </c>
      <c r="AD37" s="93">
        <v>35890</v>
      </c>
      <c r="AE37" s="93">
        <v>0</v>
      </c>
      <c r="AF37" s="93">
        <v>323011</v>
      </c>
      <c r="AG37" s="93">
        <v>0</v>
      </c>
      <c r="AH37" s="93">
        <v>0</v>
      </c>
      <c r="AI37" s="93">
        <v>0</v>
      </c>
      <c r="AJ37" s="93">
        <v>21608.650000000169</v>
      </c>
      <c r="AK37" s="93">
        <v>0</v>
      </c>
      <c r="AL37" s="93">
        <v>0</v>
      </c>
      <c r="AM37" s="93">
        <v>0</v>
      </c>
      <c r="AN37" s="93">
        <v>9311.44</v>
      </c>
      <c r="AO37" s="93">
        <v>1590</v>
      </c>
      <c r="AP37" s="93">
        <v>0</v>
      </c>
      <c r="AQ37" s="93">
        <v>0</v>
      </c>
      <c r="AR37" s="93">
        <v>0</v>
      </c>
      <c r="AS37" s="93">
        <v>0</v>
      </c>
      <c r="AT37" s="93">
        <v>0</v>
      </c>
      <c r="AU37" s="93">
        <v>52746.68</v>
      </c>
      <c r="AV37" s="93">
        <v>36787</v>
      </c>
      <c r="AW37" s="93">
        <v>1252300.6700000004</v>
      </c>
      <c r="AX37" s="93">
        <v>21713.34</v>
      </c>
      <c r="AY37" s="93">
        <v>476741.76</v>
      </c>
      <c r="AZ37" s="93">
        <v>0</v>
      </c>
      <c r="BA37" s="93">
        <v>204808.48</v>
      </c>
      <c r="BB37" s="93">
        <v>0</v>
      </c>
      <c r="BC37" s="93">
        <v>63887.93</v>
      </c>
      <c r="BD37" s="93">
        <v>0</v>
      </c>
      <c r="BE37" s="93">
        <v>0</v>
      </c>
      <c r="BF37" s="93">
        <v>0</v>
      </c>
      <c r="BG37" s="93">
        <v>0</v>
      </c>
      <c r="BH37" s="93">
        <v>34788.67</v>
      </c>
      <c r="BI37" s="93">
        <v>500</v>
      </c>
      <c r="BJ37" s="93">
        <v>51151.09</v>
      </c>
      <c r="BK37" s="93">
        <v>12045.18</v>
      </c>
      <c r="BL37" s="93">
        <v>69939.149999999994</v>
      </c>
      <c r="BM37" s="93">
        <v>0</v>
      </c>
      <c r="BN37" s="93">
        <v>11971.62</v>
      </c>
      <c r="BO37" s="93">
        <v>30637.750000000004</v>
      </c>
      <c r="BP37" s="93">
        <v>27542.14</v>
      </c>
      <c r="BQ37" s="93">
        <v>480.8</v>
      </c>
      <c r="BR37" s="93">
        <v>12928.29</v>
      </c>
      <c r="BS37" s="93">
        <v>4895</v>
      </c>
      <c r="BT37" s="93">
        <v>3945.6</v>
      </c>
      <c r="BU37" s="93">
        <v>166724</v>
      </c>
      <c r="BV37" s="93">
        <v>0</v>
      </c>
      <c r="BW37" s="93">
        <v>0</v>
      </c>
      <c r="BX37" s="93">
        <v>100633.07</v>
      </c>
      <c r="BY37" s="93">
        <v>0</v>
      </c>
      <c r="BZ37" s="93">
        <v>0</v>
      </c>
      <c r="CA37" s="93"/>
      <c r="CB37" s="93">
        <v>0</v>
      </c>
      <c r="CC37" s="93">
        <v>0</v>
      </c>
      <c r="CD37" s="93">
        <v>8209.75</v>
      </c>
      <c r="CE37" s="93">
        <v>0</v>
      </c>
      <c r="CF37" s="93">
        <v>0</v>
      </c>
      <c r="CG37" s="93">
        <v>0</v>
      </c>
      <c r="CH37" s="93">
        <v>0</v>
      </c>
      <c r="CI37" s="93">
        <v>0</v>
      </c>
      <c r="CJ37" s="93">
        <v>18208.580000000002</v>
      </c>
      <c r="CK37" s="93"/>
      <c r="CL37" s="93">
        <v>486355.18999999994</v>
      </c>
      <c r="CM37" s="93"/>
      <c r="CN37" s="93">
        <v>23058.17</v>
      </c>
      <c r="CO37" s="93">
        <v>0</v>
      </c>
      <c r="CP37" s="93">
        <v>0</v>
      </c>
      <c r="CQ37" s="93">
        <v>0</v>
      </c>
      <c r="CR37" s="100"/>
      <c r="CS37" s="95">
        <v>448670.60000000056</v>
      </c>
      <c r="CT37" s="95">
        <v>0</v>
      </c>
      <c r="CU37" s="96">
        <v>486355.19</v>
      </c>
      <c r="CV37" s="96">
        <v>-37684.589999999997</v>
      </c>
      <c r="CW37" s="96">
        <v>-37684.589999999444</v>
      </c>
      <c r="CX37" s="95">
        <v>-37684.589999999997</v>
      </c>
      <c r="CY37" s="95">
        <v>448670.6</v>
      </c>
      <c r="CZ37" s="97">
        <v>-2522.75</v>
      </c>
      <c r="DA37" s="95">
        <v>-2522.75</v>
      </c>
      <c r="DB37" s="95">
        <v>10793.62999999983</v>
      </c>
      <c r="DC37" s="95">
        <v>0</v>
      </c>
      <c r="DD37" s="96">
        <v>-37684.589999999997</v>
      </c>
      <c r="DF37" s="95">
        <v>5.5297277867794037E-10</v>
      </c>
      <c r="DI37" s="95">
        <v>448670.60000000056</v>
      </c>
      <c r="DJ37" s="95">
        <v>0</v>
      </c>
      <c r="DK37" s="96">
        <v>486355.19</v>
      </c>
      <c r="DL37" s="96">
        <v>-37684.589999999997</v>
      </c>
      <c r="DQ37" s="88">
        <v>3302169</v>
      </c>
      <c r="DT37" s="95">
        <f t="shared" si="2"/>
        <v>2700459.0000000005</v>
      </c>
      <c r="DU37" s="95">
        <f t="shared" si="3"/>
        <v>2547634.5400000005</v>
      </c>
      <c r="DV37" s="95">
        <f t="shared" si="4"/>
        <v>152824.45999999996</v>
      </c>
      <c r="DW37" s="95">
        <f t="shared" si="5"/>
        <v>8209.75</v>
      </c>
      <c r="DX37" s="95">
        <f t="shared" si="6"/>
        <v>18208.580000000002</v>
      </c>
      <c r="DY37" s="95">
        <f t="shared" si="9"/>
        <v>-9998.8300000000017</v>
      </c>
      <c r="EA37" s="95">
        <f t="shared" si="10"/>
        <v>333530.73</v>
      </c>
      <c r="EB37" s="95">
        <f t="shared" si="11"/>
        <v>152824.45999999996</v>
      </c>
      <c r="EC37" s="95">
        <f t="shared" si="12"/>
        <v>486355.18999999994</v>
      </c>
      <c r="ED37" s="95">
        <v>486355.18999999994</v>
      </c>
      <c r="EE37" s="95">
        <f t="shared" si="7"/>
        <v>0</v>
      </c>
      <c r="EF37" s="95"/>
      <c r="EG37" s="95">
        <f t="shared" si="13"/>
        <v>33057</v>
      </c>
      <c r="EH37" s="95">
        <f t="shared" si="8"/>
        <v>-9998.8300000000017</v>
      </c>
      <c r="EI37" s="95">
        <f t="shared" si="14"/>
        <v>23058.17</v>
      </c>
      <c r="EJ37" s="97">
        <v>23058.17</v>
      </c>
      <c r="EK37" s="95">
        <f t="shared" si="15"/>
        <v>0</v>
      </c>
    </row>
    <row r="38" spans="1:141" s="87" customFormat="1" x14ac:dyDescent="0.35">
      <c r="A38" s="87" t="str">
        <f>_xlfn.XLOOKUP(C38,[1]Adjustment!B:B,[1]Adjustment!H:H,0,0)</f>
        <v>Agree</v>
      </c>
      <c r="B38" s="87">
        <v>2174</v>
      </c>
      <c r="C38" s="88">
        <v>3302174</v>
      </c>
      <c r="D38" s="98" t="s">
        <v>192</v>
      </c>
      <c r="E38" s="89" t="s">
        <v>193</v>
      </c>
      <c r="F38" s="101"/>
      <c r="G38" s="99"/>
      <c r="H38" s="88"/>
      <c r="I38" s="88"/>
      <c r="J38" s="88"/>
      <c r="K38" s="88"/>
      <c r="L38" s="88"/>
      <c r="M38" s="88"/>
      <c r="N38" s="88"/>
      <c r="O38" s="88"/>
      <c r="P38" s="88"/>
      <c r="Q38" s="88"/>
      <c r="R38" s="88"/>
      <c r="S38" s="92"/>
      <c r="T38" s="92"/>
      <c r="U38" s="92"/>
      <c r="V38" s="92"/>
      <c r="W38" s="92"/>
      <c r="X38" s="92"/>
      <c r="Y38" s="93">
        <v>166150.70000000001</v>
      </c>
      <c r="Z38" s="93"/>
      <c r="AA38" s="93">
        <v>25178</v>
      </c>
      <c r="AB38" s="93">
        <v>1868349.27</v>
      </c>
      <c r="AC38" s="93">
        <v>0</v>
      </c>
      <c r="AD38" s="93">
        <v>35462.5</v>
      </c>
      <c r="AE38" s="93">
        <v>0</v>
      </c>
      <c r="AF38" s="93">
        <v>166946.5</v>
      </c>
      <c r="AG38" s="93">
        <v>7256.93</v>
      </c>
      <c r="AH38" s="93">
        <v>0</v>
      </c>
      <c r="AI38" s="93">
        <v>0</v>
      </c>
      <c r="AJ38" s="93">
        <v>320203.62</v>
      </c>
      <c r="AK38" s="93">
        <v>0</v>
      </c>
      <c r="AL38" s="93">
        <v>0</v>
      </c>
      <c r="AM38" s="93">
        <v>0</v>
      </c>
      <c r="AN38" s="93">
        <v>9143.65</v>
      </c>
      <c r="AO38" s="93">
        <v>0</v>
      </c>
      <c r="AP38" s="93">
        <v>0</v>
      </c>
      <c r="AQ38" s="93">
        <v>0</v>
      </c>
      <c r="AR38" s="93">
        <v>0</v>
      </c>
      <c r="AS38" s="93">
        <v>0</v>
      </c>
      <c r="AT38" s="93">
        <v>0</v>
      </c>
      <c r="AU38" s="93">
        <v>26052.5</v>
      </c>
      <c r="AV38" s="93">
        <v>127723</v>
      </c>
      <c r="AW38" s="93">
        <v>1093370.8000000005</v>
      </c>
      <c r="AX38" s="93">
        <v>0</v>
      </c>
      <c r="AY38" s="93">
        <v>479597.33</v>
      </c>
      <c r="AZ38" s="93">
        <v>46696.55</v>
      </c>
      <c r="BA38" s="93">
        <v>178653.37</v>
      </c>
      <c r="BB38" s="93">
        <v>0</v>
      </c>
      <c r="BC38" s="93">
        <v>94736.75</v>
      </c>
      <c r="BD38" s="93">
        <v>469.83</v>
      </c>
      <c r="BE38" s="93">
        <v>14548.71</v>
      </c>
      <c r="BF38" s="93">
        <v>0</v>
      </c>
      <c r="BG38" s="93">
        <v>0</v>
      </c>
      <c r="BH38" s="93">
        <v>22621.47</v>
      </c>
      <c r="BI38" s="93">
        <v>90</v>
      </c>
      <c r="BJ38" s="93">
        <v>35376.949999999997</v>
      </c>
      <c r="BK38" s="93">
        <v>5274.43</v>
      </c>
      <c r="BL38" s="93">
        <v>36765.589999999997</v>
      </c>
      <c r="BM38" s="93">
        <v>19934.43</v>
      </c>
      <c r="BN38" s="93">
        <v>4156.9799999999996</v>
      </c>
      <c r="BO38" s="93">
        <v>173137.07999999926</v>
      </c>
      <c r="BP38" s="93">
        <v>0</v>
      </c>
      <c r="BQ38" s="93">
        <v>0</v>
      </c>
      <c r="BR38" s="93">
        <v>34964.21</v>
      </c>
      <c r="BS38" s="93">
        <v>4895</v>
      </c>
      <c r="BT38" s="93">
        <v>0</v>
      </c>
      <c r="BU38" s="93">
        <v>146486.72</v>
      </c>
      <c r="BV38" s="93">
        <v>90783.6</v>
      </c>
      <c r="BW38" s="93">
        <v>119</v>
      </c>
      <c r="BX38" s="93">
        <v>58823.47</v>
      </c>
      <c r="BY38" s="93">
        <v>0</v>
      </c>
      <c r="BZ38" s="93">
        <v>0</v>
      </c>
      <c r="CA38" s="93"/>
      <c r="CB38" s="93">
        <v>0</v>
      </c>
      <c r="CC38" s="93">
        <v>0</v>
      </c>
      <c r="CD38" s="93">
        <v>8016.25</v>
      </c>
      <c r="CE38" s="93">
        <v>17161.419999999998</v>
      </c>
      <c r="CF38" s="93">
        <v>0</v>
      </c>
      <c r="CG38" s="93">
        <v>0</v>
      </c>
      <c r="CH38" s="93">
        <v>0</v>
      </c>
      <c r="CI38" s="93">
        <v>0</v>
      </c>
      <c r="CJ38" s="93">
        <v>20555</v>
      </c>
      <c r="CK38" s="93"/>
      <c r="CL38" s="93">
        <v>185786.39999999944</v>
      </c>
      <c r="CM38" s="93"/>
      <c r="CN38" s="93">
        <v>29800.67</v>
      </c>
      <c r="CO38" s="93">
        <v>0</v>
      </c>
      <c r="CP38" s="93">
        <v>0</v>
      </c>
      <c r="CQ38" s="93">
        <v>0</v>
      </c>
      <c r="CR38" s="100"/>
      <c r="CS38" s="95">
        <v>165231.39999999973</v>
      </c>
      <c r="CT38" s="95">
        <v>51432.67</v>
      </c>
      <c r="CU38" s="96">
        <v>165231.4</v>
      </c>
      <c r="CV38" s="96">
        <v>51432.67</v>
      </c>
      <c r="CW38" s="96">
        <v>-2.6193447411060333E-10</v>
      </c>
      <c r="CX38" s="95">
        <v>0</v>
      </c>
      <c r="CY38" s="95">
        <v>216664.07</v>
      </c>
      <c r="CZ38" s="97">
        <v>15011.419999999998</v>
      </c>
      <c r="DA38" s="95">
        <v>15011.419999999998</v>
      </c>
      <c r="DB38" s="95">
        <v>0</v>
      </c>
      <c r="DC38" s="95">
        <v>-7.2759576141834259E-10</v>
      </c>
      <c r="DD38" s="96"/>
      <c r="DF38" s="95">
        <v>-2.7648638933897018E-10</v>
      </c>
      <c r="DI38" s="95">
        <v>165231.39999999973</v>
      </c>
      <c r="DJ38" s="95">
        <v>51432.67</v>
      </c>
      <c r="DK38" s="96">
        <v>165231.4</v>
      </c>
      <c r="DL38" s="96">
        <v>51432.67</v>
      </c>
      <c r="DQ38" s="88">
        <v>3302174</v>
      </c>
      <c r="DT38" s="95">
        <f t="shared" si="2"/>
        <v>2561137.9699999997</v>
      </c>
      <c r="DU38" s="95">
        <f t="shared" si="3"/>
        <v>2541502.2700000005</v>
      </c>
      <c r="DV38" s="95">
        <f t="shared" si="4"/>
        <v>19635.699999999255</v>
      </c>
      <c r="DW38" s="95">
        <f t="shared" si="5"/>
        <v>25177.67</v>
      </c>
      <c r="DX38" s="95">
        <f t="shared" si="6"/>
        <v>20555</v>
      </c>
      <c r="DY38" s="95">
        <f t="shared" si="9"/>
        <v>4622.6699999999983</v>
      </c>
      <c r="EA38" s="95">
        <f t="shared" si="10"/>
        <v>166150.70000000001</v>
      </c>
      <c r="EB38" s="95">
        <f t="shared" si="11"/>
        <v>19635.699999999255</v>
      </c>
      <c r="EC38" s="95">
        <f t="shared" si="12"/>
        <v>185786.39999999927</v>
      </c>
      <c r="ED38" s="95">
        <v>185786.39999999927</v>
      </c>
      <c r="EE38" s="95">
        <f t="shared" si="7"/>
        <v>0</v>
      </c>
      <c r="EF38" s="95"/>
      <c r="EG38" s="95">
        <f t="shared" si="13"/>
        <v>25178</v>
      </c>
      <c r="EH38" s="95">
        <f t="shared" si="8"/>
        <v>4622.6699999999983</v>
      </c>
      <c r="EI38" s="95">
        <f t="shared" si="14"/>
        <v>29800.67</v>
      </c>
      <c r="EJ38" s="97">
        <v>29800.67</v>
      </c>
      <c r="EK38" s="95">
        <f t="shared" si="15"/>
        <v>0</v>
      </c>
    </row>
    <row r="39" spans="1:141" s="87" customFormat="1" x14ac:dyDescent="0.35">
      <c r="A39" s="87" t="str">
        <f>_xlfn.XLOOKUP(C39,[1]Adjustment!B:B,[1]Adjustment!H:H,0,0)</f>
        <v>Agree</v>
      </c>
      <c r="B39" s="87">
        <v>2178</v>
      </c>
      <c r="C39" s="88">
        <v>3302178</v>
      </c>
      <c r="D39" s="98" t="s">
        <v>194</v>
      </c>
      <c r="E39" s="89" t="s">
        <v>195</v>
      </c>
      <c r="F39" s="101"/>
      <c r="G39" s="99"/>
      <c r="H39" s="88"/>
      <c r="I39" s="88"/>
      <c r="J39" s="88"/>
      <c r="K39" s="88"/>
      <c r="L39" s="88"/>
      <c r="M39" s="88"/>
      <c r="N39" s="88"/>
      <c r="O39" s="88"/>
      <c r="P39" s="88"/>
      <c r="Q39" s="88"/>
      <c r="R39" s="88"/>
      <c r="S39" s="92"/>
      <c r="T39" s="92"/>
      <c r="U39" s="92"/>
      <c r="V39" s="92"/>
      <c r="W39" s="92"/>
      <c r="X39" s="92"/>
      <c r="Y39" s="93">
        <v>80275.89</v>
      </c>
      <c r="Z39" s="93"/>
      <c r="AA39" s="93">
        <v>22</v>
      </c>
      <c r="AB39" s="93">
        <v>1412675.1</v>
      </c>
      <c r="AC39" s="93">
        <v>0</v>
      </c>
      <c r="AD39" s="93">
        <v>23703.75</v>
      </c>
      <c r="AE39" s="93">
        <v>0</v>
      </c>
      <c r="AF39" s="93">
        <v>141405.5</v>
      </c>
      <c r="AG39" s="93">
        <v>0</v>
      </c>
      <c r="AH39" s="93">
        <v>0</v>
      </c>
      <c r="AI39" s="93">
        <v>0</v>
      </c>
      <c r="AJ39" s="93">
        <v>36224.110000000132</v>
      </c>
      <c r="AK39" s="93">
        <v>0</v>
      </c>
      <c r="AL39" s="93">
        <v>0</v>
      </c>
      <c r="AM39" s="93">
        <v>0</v>
      </c>
      <c r="AN39" s="93">
        <v>18401.38</v>
      </c>
      <c r="AO39" s="93">
        <v>0</v>
      </c>
      <c r="AP39" s="93">
        <v>0</v>
      </c>
      <c r="AQ39" s="93">
        <v>0</v>
      </c>
      <c r="AR39" s="93">
        <v>0</v>
      </c>
      <c r="AS39" s="93">
        <v>0</v>
      </c>
      <c r="AT39" s="93">
        <v>0</v>
      </c>
      <c r="AU39" s="93">
        <v>9566.5</v>
      </c>
      <c r="AV39" s="93">
        <v>39838</v>
      </c>
      <c r="AW39" s="93">
        <v>631281.60999999987</v>
      </c>
      <c r="AX39" s="93">
        <v>0</v>
      </c>
      <c r="AY39" s="93">
        <v>263144.19</v>
      </c>
      <c r="AZ39" s="93">
        <v>37300.480000000003</v>
      </c>
      <c r="BA39" s="93">
        <v>201288.51</v>
      </c>
      <c r="BB39" s="93">
        <v>0</v>
      </c>
      <c r="BC39" s="93">
        <v>4564.08</v>
      </c>
      <c r="BD39" s="93">
        <v>763.84</v>
      </c>
      <c r="BE39" s="93">
        <v>324</v>
      </c>
      <c r="BF39" s="93">
        <v>0</v>
      </c>
      <c r="BG39" s="93">
        <v>0</v>
      </c>
      <c r="BH39" s="93">
        <v>82649.25</v>
      </c>
      <c r="BI39" s="93">
        <v>3874.21</v>
      </c>
      <c r="BJ39" s="93">
        <v>35965.919999999998</v>
      </c>
      <c r="BK39" s="93">
        <v>5717.96</v>
      </c>
      <c r="BL39" s="93">
        <v>51942.87</v>
      </c>
      <c r="BM39" s="93">
        <v>0</v>
      </c>
      <c r="BN39" s="93">
        <v>3568.2</v>
      </c>
      <c r="BO39" s="93">
        <v>26361.119999999999</v>
      </c>
      <c r="BP39" s="93">
        <v>8190.5</v>
      </c>
      <c r="BQ39" s="93">
        <v>15124.14</v>
      </c>
      <c r="BR39" s="93">
        <v>19652.12</v>
      </c>
      <c r="BS39" s="93">
        <v>5175</v>
      </c>
      <c r="BT39" s="93">
        <v>3945.6</v>
      </c>
      <c r="BU39" s="93">
        <v>57610.13</v>
      </c>
      <c r="BV39" s="93">
        <v>42453.55</v>
      </c>
      <c r="BW39" s="93">
        <v>1758.67</v>
      </c>
      <c r="BX39" s="93">
        <v>92642.28</v>
      </c>
      <c r="BY39" s="93">
        <v>0</v>
      </c>
      <c r="BZ39" s="93">
        <v>0</v>
      </c>
      <c r="CA39" s="93"/>
      <c r="CB39" s="93">
        <v>0</v>
      </c>
      <c r="CC39" s="93">
        <v>0</v>
      </c>
      <c r="CD39" s="93">
        <v>6712.6</v>
      </c>
      <c r="CE39" s="93">
        <v>78919</v>
      </c>
      <c r="CF39" s="93">
        <v>0</v>
      </c>
      <c r="CG39" s="93">
        <v>0</v>
      </c>
      <c r="CH39" s="93">
        <v>0</v>
      </c>
      <c r="CI39" s="93">
        <v>0</v>
      </c>
      <c r="CJ39" s="93">
        <v>83902</v>
      </c>
      <c r="CK39" s="93"/>
      <c r="CL39" s="93">
        <v>166792</v>
      </c>
      <c r="CM39" s="93"/>
      <c r="CN39" s="93">
        <v>1751.6000000000058</v>
      </c>
      <c r="CO39" s="93">
        <v>0</v>
      </c>
      <c r="CP39" s="93">
        <v>0</v>
      </c>
      <c r="CQ39" s="93">
        <v>0</v>
      </c>
      <c r="CR39" s="100"/>
      <c r="CS39" s="95">
        <v>87568.39</v>
      </c>
      <c r="CT39" s="95">
        <v>54982.41</v>
      </c>
      <c r="CU39" s="96">
        <v>87568.39</v>
      </c>
      <c r="CV39" s="96">
        <v>54982.41</v>
      </c>
      <c r="CW39" s="96">
        <v>0</v>
      </c>
      <c r="CX39" s="95">
        <v>0</v>
      </c>
      <c r="CY39" s="95">
        <v>142550.79999999999</v>
      </c>
      <c r="CZ39" s="97">
        <v>45103.25</v>
      </c>
      <c r="DA39" s="95">
        <v>45103.25</v>
      </c>
      <c r="DB39" s="95">
        <v>29324.10999999987</v>
      </c>
      <c r="DC39" s="95">
        <v>0</v>
      </c>
      <c r="DD39" s="96"/>
      <c r="DF39" s="95">
        <v>0</v>
      </c>
      <c r="DI39" s="95">
        <v>87568.39</v>
      </c>
      <c r="DJ39" s="95">
        <v>54982.41</v>
      </c>
      <c r="DK39" s="96">
        <v>87568.39</v>
      </c>
      <c r="DL39" s="96">
        <v>54982.41</v>
      </c>
      <c r="DQ39" s="88">
        <v>3302178</v>
      </c>
      <c r="DT39" s="95">
        <f t="shared" si="2"/>
        <v>1681814.34</v>
      </c>
      <c r="DU39" s="95">
        <f t="shared" si="3"/>
        <v>1595298.23</v>
      </c>
      <c r="DV39" s="95">
        <f t="shared" si="4"/>
        <v>86516.110000000102</v>
      </c>
      <c r="DW39" s="95">
        <f t="shared" si="5"/>
        <v>85631.6</v>
      </c>
      <c r="DX39" s="95">
        <f t="shared" si="6"/>
        <v>83902</v>
      </c>
      <c r="DY39" s="95">
        <f t="shared" si="9"/>
        <v>1729.6000000000058</v>
      </c>
      <c r="EA39" s="95">
        <f t="shared" si="10"/>
        <v>80275.89</v>
      </c>
      <c r="EB39" s="95">
        <f t="shared" si="11"/>
        <v>86516.110000000102</v>
      </c>
      <c r="EC39" s="95">
        <f t="shared" si="12"/>
        <v>166792.00000000012</v>
      </c>
      <c r="ED39" s="95">
        <v>166792.00000000012</v>
      </c>
      <c r="EE39" s="95">
        <f t="shared" si="7"/>
        <v>0</v>
      </c>
      <c r="EF39" s="95"/>
      <c r="EG39" s="95">
        <f t="shared" si="13"/>
        <v>22</v>
      </c>
      <c r="EH39" s="95">
        <f t="shared" si="8"/>
        <v>1729.6000000000058</v>
      </c>
      <c r="EI39" s="95">
        <f t="shared" si="14"/>
        <v>1751.6000000000058</v>
      </c>
      <c r="EJ39" s="97">
        <v>1751.6000000000058</v>
      </c>
      <c r="EK39" s="95">
        <f t="shared" si="15"/>
        <v>0</v>
      </c>
    </row>
    <row r="40" spans="1:141" s="102" customFormat="1" x14ac:dyDescent="0.35">
      <c r="A40" s="102" t="str">
        <f>_xlfn.XLOOKUP(C40,[1]Adjustment!B:B,[1]Adjustment!H:H,0,0)</f>
        <v>Agree</v>
      </c>
      <c r="B40" s="87">
        <v>2189</v>
      </c>
      <c r="C40" s="103">
        <v>3302189</v>
      </c>
      <c r="D40" s="104" t="s">
        <v>196</v>
      </c>
      <c r="E40" s="105" t="s">
        <v>197</v>
      </c>
      <c r="F40" s="106"/>
      <c r="G40" s="107"/>
      <c r="H40" s="103"/>
      <c r="I40" s="103"/>
      <c r="J40" s="103"/>
      <c r="K40" s="103"/>
      <c r="L40" s="103"/>
      <c r="M40" s="103"/>
      <c r="N40" s="103"/>
      <c r="O40" s="103"/>
      <c r="P40" s="103"/>
      <c r="Q40" s="103"/>
      <c r="R40" s="103"/>
      <c r="S40" s="108"/>
      <c r="T40" s="108"/>
      <c r="U40" s="108"/>
      <c r="V40" s="108"/>
      <c r="W40" s="108"/>
      <c r="X40" s="108"/>
      <c r="Y40" s="109">
        <v>136004.13</v>
      </c>
      <c r="Z40" s="109"/>
      <c r="AA40" s="109">
        <v>-21217.5</v>
      </c>
      <c r="AB40" s="109">
        <v>1578833.49</v>
      </c>
      <c r="AC40" s="109">
        <v>0</v>
      </c>
      <c r="AD40" s="109">
        <v>59970</v>
      </c>
      <c r="AE40" s="109">
        <v>0</v>
      </c>
      <c r="AF40" s="109">
        <v>196425.5</v>
      </c>
      <c r="AG40" s="109">
        <v>2056.9299999999998</v>
      </c>
      <c r="AH40" s="109">
        <v>0</v>
      </c>
      <c r="AI40" s="109">
        <v>0</v>
      </c>
      <c r="AJ40" s="109">
        <v>53773.0899999994</v>
      </c>
      <c r="AK40" s="109">
        <v>0</v>
      </c>
      <c r="AL40" s="109">
        <v>0</v>
      </c>
      <c r="AM40" s="109">
        <v>0</v>
      </c>
      <c r="AN40" s="109">
        <v>6025.77</v>
      </c>
      <c r="AO40" s="109">
        <v>0</v>
      </c>
      <c r="AP40" s="109">
        <v>0</v>
      </c>
      <c r="AQ40" s="109">
        <v>0</v>
      </c>
      <c r="AR40" s="109">
        <v>0</v>
      </c>
      <c r="AS40" s="109">
        <v>0</v>
      </c>
      <c r="AT40" s="109">
        <v>0</v>
      </c>
      <c r="AU40" s="109">
        <v>33705</v>
      </c>
      <c r="AV40" s="109">
        <v>38279</v>
      </c>
      <c r="AW40" s="109">
        <v>696084.03</v>
      </c>
      <c r="AX40" s="109">
        <v>0</v>
      </c>
      <c r="AY40" s="109">
        <v>347363.88</v>
      </c>
      <c r="AZ40" s="109">
        <v>71244.78</v>
      </c>
      <c r="BA40" s="109">
        <v>6318.48</v>
      </c>
      <c r="BB40" s="109">
        <v>0</v>
      </c>
      <c r="BC40" s="109">
        <v>50979.24</v>
      </c>
      <c r="BD40" s="109">
        <v>214.51</v>
      </c>
      <c r="BE40" s="109">
        <v>16338.3</v>
      </c>
      <c r="BF40" s="109">
        <v>0</v>
      </c>
      <c r="BG40" s="109">
        <v>0</v>
      </c>
      <c r="BH40" s="109">
        <v>63282.85</v>
      </c>
      <c r="BI40" s="109">
        <v>78</v>
      </c>
      <c r="BJ40" s="109">
        <v>76712.89</v>
      </c>
      <c r="BK40" s="109">
        <v>9078.92</v>
      </c>
      <c r="BL40" s="109">
        <v>85805.65</v>
      </c>
      <c r="BM40" s="109">
        <v>0</v>
      </c>
      <c r="BN40" s="109">
        <v>72780.53</v>
      </c>
      <c r="BO40" s="109">
        <v>5387.47</v>
      </c>
      <c r="BP40" s="109">
        <v>7870.71</v>
      </c>
      <c r="BQ40" s="109">
        <v>22210.42</v>
      </c>
      <c r="BR40" s="109">
        <v>65106.39</v>
      </c>
      <c r="BS40" s="109">
        <v>4895</v>
      </c>
      <c r="BT40" s="109">
        <v>14544.96</v>
      </c>
      <c r="BU40" s="109">
        <v>136601.98000000001</v>
      </c>
      <c r="BV40" s="109">
        <v>360509.4</v>
      </c>
      <c r="BW40" s="109">
        <v>50</v>
      </c>
      <c r="BX40" s="109">
        <v>215132.29</v>
      </c>
      <c r="BY40" s="109">
        <v>0</v>
      </c>
      <c r="BZ40" s="109">
        <v>0</v>
      </c>
      <c r="CA40" s="109">
        <v>13760.36</v>
      </c>
      <c r="CB40" s="109">
        <v>0</v>
      </c>
      <c r="CC40" s="109">
        <v>0</v>
      </c>
      <c r="CD40" s="109">
        <v>7512.25</v>
      </c>
      <c r="CE40" s="109">
        <v>0</v>
      </c>
      <c r="CF40" s="109">
        <v>13760.36</v>
      </c>
      <c r="CG40" s="109">
        <v>0</v>
      </c>
      <c r="CH40" s="109">
        <v>0</v>
      </c>
      <c r="CI40" s="109">
        <v>0</v>
      </c>
      <c r="CJ40" s="109">
        <v>55.11</v>
      </c>
      <c r="CK40" s="109"/>
      <c r="CL40" s="109">
        <v>-237278.13000000035</v>
      </c>
      <c r="CM40" s="109"/>
      <c r="CN40" s="93">
        <v>5.8264504332328215E-13</v>
      </c>
      <c r="CO40" s="109">
        <v>0</v>
      </c>
      <c r="CP40" s="109">
        <v>0</v>
      </c>
      <c r="CQ40" s="109">
        <v>0</v>
      </c>
      <c r="CR40" s="110"/>
      <c r="CS40" s="111">
        <v>-294727.28000000014</v>
      </c>
      <c r="CT40" s="111">
        <v>3180.4000000000015</v>
      </c>
      <c r="CU40" s="112">
        <v>-294727.28000000003</v>
      </c>
      <c r="CV40" s="112">
        <v>3180.4</v>
      </c>
      <c r="CW40" s="112">
        <v>0</v>
      </c>
      <c r="CX40" s="111">
        <v>0</v>
      </c>
      <c r="CY40" s="111">
        <v>-291546.88</v>
      </c>
      <c r="CZ40" s="113">
        <v>16940.760000000002</v>
      </c>
      <c r="DA40" s="111">
        <v>16940.760000000002</v>
      </c>
      <c r="DB40" s="111">
        <v>2.0000000600703061E-2</v>
      </c>
      <c r="DC40" s="111">
        <v>0</v>
      </c>
      <c r="DD40" s="112"/>
      <c r="DF40" s="111">
        <v>-9.3223206931725144E-11</v>
      </c>
      <c r="DI40" s="111">
        <v>-294727.28000000014</v>
      </c>
      <c r="DJ40" s="111">
        <v>3180.4000000000015</v>
      </c>
      <c r="DK40" s="112">
        <v>-294727.28000000003</v>
      </c>
      <c r="DL40" s="112">
        <v>3180.4</v>
      </c>
      <c r="DQ40" s="103">
        <v>3302189</v>
      </c>
      <c r="DT40" s="111">
        <f t="shared" si="2"/>
        <v>1969068.7799999993</v>
      </c>
      <c r="DU40" s="111">
        <f t="shared" si="3"/>
        <v>2342351.0399999996</v>
      </c>
      <c r="DV40" s="111">
        <f t="shared" si="4"/>
        <v>-373282.26000000024</v>
      </c>
      <c r="DW40" s="111">
        <f t="shared" si="5"/>
        <v>21272.61</v>
      </c>
      <c r="DX40" s="111">
        <f t="shared" si="6"/>
        <v>55.11</v>
      </c>
      <c r="DY40" s="111">
        <f t="shared" si="9"/>
        <v>21217.5</v>
      </c>
      <c r="EA40" s="111">
        <f t="shared" si="10"/>
        <v>136004.13</v>
      </c>
      <c r="EB40" s="95">
        <f t="shared" si="11"/>
        <v>-373282.26000000024</v>
      </c>
      <c r="EC40" s="111">
        <f t="shared" si="12"/>
        <v>-237278.13000000024</v>
      </c>
      <c r="ED40" s="111">
        <v>-237278.13</v>
      </c>
      <c r="EE40" s="111">
        <f t="shared" si="7"/>
        <v>-2.3283064365386963E-10</v>
      </c>
      <c r="EF40" s="111"/>
      <c r="EG40" s="111">
        <f t="shared" si="13"/>
        <v>-21217.5</v>
      </c>
      <c r="EH40" s="111">
        <f t="shared" si="8"/>
        <v>21217.5</v>
      </c>
      <c r="EI40" s="111">
        <f t="shared" si="14"/>
        <v>0</v>
      </c>
      <c r="EJ40" s="113">
        <v>0</v>
      </c>
      <c r="EK40" s="111">
        <f t="shared" si="15"/>
        <v>0</v>
      </c>
    </row>
    <row r="41" spans="1:141" s="87" customFormat="1" x14ac:dyDescent="0.35">
      <c r="A41" s="87" t="str">
        <f>_xlfn.XLOOKUP(C41,[1]Adjustment!B:B,[1]Adjustment!H:H,0,0)</f>
        <v>Agree</v>
      </c>
      <c r="B41" s="87">
        <v>2190</v>
      </c>
      <c r="C41" s="88">
        <v>3302190</v>
      </c>
      <c r="D41" s="98" t="s">
        <v>198</v>
      </c>
      <c r="E41" s="89" t="s">
        <v>199</v>
      </c>
      <c r="F41" s="101"/>
      <c r="G41" s="99"/>
      <c r="H41" s="88"/>
      <c r="I41" s="88"/>
      <c r="J41" s="88"/>
      <c r="K41" s="88"/>
      <c r="L41" s="88"/>
      <c r="M41" s="88"/>
      <c r="N41" s="88"/>
      <c r="O41" s="88"/>
      <c r="P41" s="88"/>
      <c r="Q41" s="88"/>
      <c r="R41" s="88"/>
      <c r="S41" s="92"/>
      <c r="T41" s="92"/>
      <c r="U41" s="92"/>
      <c r="V41" s="92"/>
      <c r="W41" s="92"/>
      <c r="X41" s="92"/>
      <c r="Y41" s="93">
        <v>197661</v>
      </c>
      <c r="Z41" s="93"/>
      <c r="AA41" s="93">
        <v>20006</v>
      </c>
      <c r="AB41" s="93">
        <v>969561.01</v>
      </c>
      <c r="AC41" s="93">
        <v>0</v>
      </c>
      <c r="AD41" s="93">
        <v>36057.769999999997</v>
      </c>
      <c r="AE41" s="93">
        <v>0</v>
      </c>
      <c r="AF41" s="93">
        <v>145056.5</v>
      </c>
      <c r="AG41" s="93">
        <v>0</v>
      </c>
      <c r="AH41" s="93">
        <v>0</v>
      </c>
      <c r="AI41" s="93">
        <v>0</v>
      </c>
      <c r="AJ41" s="93">
        <v>17123.44000000017</v>
      </c>
      <c r="AK41" s="93">
        <v>0</v>
      </c>
      <c r="AL41" s="93">
        <v>0</v>
      </c>
      <c r="AM41" s="93">
        <v>0</v>
      </c>
      <c r="AN41" s="93">
        <v>0</v>
      </c>
      <c r="AO41" s="93">
        <v>0</v>
      </c>
      <c r="AP41" s="93">
        <v>0</v>
      </c>
      <c r="AQ41" s="93">
        <v>0</v>
      </c>
      <c r="AR41" s="93">
        <v>0</v>
      </c>
      <c r="AS41" s="93">
        <v>0</v>
      </c>
      <c r="AT41" s="93">
        <v>0</v>
      </c>
      <c r="AU41" s="93">
        <v>8541.3799999999992</v>
      </c>
      <c r="AV41" s="93">
        <v>33599</v>
      </c>
      <c r="AW41" s="93">
        <v>597524.56000000017</v>
      </c>
      <c r="AX41" s="93">
        <v>0</v>
      </c>
      <c r="AY41" s="93">
        <v>150892.26</v>
      </c>
      <c r="AZ41" s="93">
        <v>27814.49</v>
      </c>
      <c r="BA41" s="93">
        <v>89631.6</v>
      </c>
      <c r="BB41" s="93">
        <v>0</v>
      </c>
      <c r="BC41" s="93">
        <v>27065.34</v>
      </c>
      <c r="BD41" s="93">
        <v>0</v>
      </c>
      <c r="BE41" s="93">
        <v>3320</v>
      </c>
      <c r="BF41" s="93">
        <v>0</v>
      </c>
      <c r="BG41" s="93">
        <v>0</v>
      </c>
      <c r="BH41" s="93">
        <v>28560.91</v>
      </c>
      <c r="BI41" s="93">
        <v>4951.16</v>
      </c>
      <c r="BJ41" s="93">
        <v>2088.4299999999998</v>
      </c>
      <c r="BK41" s="93">
        <v>4817.0600000000004</v>
      </c>
      <c r="BL41" s="93">
        <v>39874.11</v>
      </c>
      <c r="BM41" s="93">
        <v>0</v>
      </c>
      <c r="BN41" s="93">
        <v>6556.31</v>
      </c>
      <c r="BO41" s="93">
        <v>44797.27</v>
      </c>
      <c r="BP41" s="93">
        <v>2013.15</v>
      </c>
      <c r="BQ41" s="93">
        <v>542</v>
      </c>
      <c r="BR41" s="93">
        <v>16153.77</v>
      </c>
      <c r="BS41" s="93">
        <v>4895</v>
      </c>
      <c r="BT41" s="93">
        <v>3680</v>
      </c>
      <c r="BU41" s="93">
        <v>47199.93</v>
      </c>
      <c r="BV41" s="93">
        <v>99076.14</v>
      </c>
      <c r="BW41" s="93">
        <v>0</v>
      </c>
      <c r="BX41" s="93">
        <v>68144.83</v>
      </c>
      <c r="BY41" s="93">
        <v>0</v>
      </c>
      <c r="BZ41" s="93">
        <v>0</v>
      </c>
      <c r="CA41" s="93"/>
      <c r="CB41" s="93">
        <v>0</v>
      </c>
      <c r="CC41" s="93">
        <v>0</v>
      </c>
      <c r="CD41" s="93">
        <v>5845</v>
      </c>
      <c r="CE41" s="93">
        <v>0</v>
      </c>
      <c r="CF41" s="93">
        <v>0</v>
      </c>
      <c r="CG41" s="93">
        <v>0</v>
      </c>
      <c r="CH41" s="93">
        <v>0</v>
      </c>
      <c r="CI41" s="93">
        <v>0</v>
      </c>
      <c r="CJ41" s="93">
        <v>23506</v>
      </c>
      <c r="CK41" s="93"/>
      <c r="CL41" s="93">
        <v>138001.7799999998</v>
      </c>
      <c r="CM41" s="93"/>
      <c r="CN41" s="93">
        <v>2345</v>
      </c>
      <c r="CO41" s="93">
        <v>0</v>
      </c>
      <c r="CP41" s="93">
        <v>0</v>
      </c>
      <c r="CQ41" s="93">
        <v>0</v>
      </c>
      <c r="CR41" s="100"/>
      <c r="CS41" s="95">
        <v>129235.25</v>
      </c>
      <c r="CT41" s="95">
        <v>0</v>
      </c>
      <c r="CU41" s="96">
        <v>132943.22</v>
      </c>
      <c r="CV41" s="96">
        <v>-3707.97</v>
      </c>
      <c r="CW41" s="96">
        <v>-3707.9700000000012</v>
      </c>
      <c r="CX41" s="95">
        <v>-3707.97</v>
      </c>
      <c r="CY41" s="95">
        <v>129235.25</v>
      </c>
      <c r="CZ41" s="97">
        <v>19252.379999999997</v>
      </c>
      <c r="DA41" s="95">
        <v>19252.379999999997</v>
      </c>
      <c r="DB41" s="95">
        <v>1158.5999999998312</v>
      </c>
      <c r="DC41" s="95">
        <v>0</v>
      </c>
      <c r="DD41" s="96">
        <v>-3707.97</v>
      </c>
      <c r="DF41" s="95">
        <v>0</v>
      </c>
      <c r="DI41" s="95">
        <v>129235.25</v>
      </c>
      <c r="DJ41" s="95">
        <v>0</v>
      </c>
      <c r="DK41" s="96">
        <v>132943.22</v>
      </c>
      <c r="DL41" s="96">
        <v>-3707.97</v>
      </c>
      <c r="DQ41" s="88">
        <v>3302190</v>
      </c>
      <c r="DT41" s="95">
        <f t="shared" si="2"/>
        <v>1209939.1000000001</v>
      </c>
      <c r="DU41" s="95">
        <f t="shared" si="3"/>
        <v>1269598.3200000003</v>
      </c>
      <c r="DV41" s="95">
        <f t="shared" si="4"/>
        <v>-59659.220000000205</v>
      </c>
      <c r="DW41" s="95">
        <f t="shared" si="5"/>
        <v>5845</v>
      </c>
      <c r="DX41" s="95">
        <f t="shared" si="6"/>
        <v>23506</v>
      </c>
      <c r="DY41" s="95">
        <f t="shared" si="9"/>
        <v>-17661</v>
      </c>
      <c r="EA41" s="95">
        <f t="shared" si="10"/>
        <v>197661</v>
      </c>
      <c r="EB41" s="95">
        <f t="shared" si="11"/>
        <v>-59659.220000000205</v>
      </c>
      <c r="EC41" s="95">
        <f t="shared" si="12"/>
        <v>138001.7799999998</v>
      </c>
      <c r="ED41" s="95">
        <v>138001.7799999998</v>
      </c>
      <c r="EE41" s="95">
        <f t="shared" si="7"/>
        <v>0</v>
      </c>
      <c r="EF41" s="95"/>
      <c r="EG41" s="95">
        <f t="shared" si="13"/>
        <v>20006</v>
      </c>
      <c r="EH41" s="95">
        <f t="shared" ref="EH41:EH102" si="16">SUM(CD41:CF41)-SUM(CI41:CK41)</f>
        <v>-17661</v>
      </c>
      <c r="EI41" s="95">
        <f t="shared" si="14"/>
        <v>2345</v>
      </c>
      <c r="EJ41" s="97">
        <v>2345</v>
      </c>
      <c r="EK41" s="95">
        <f t="shared" si="15"/>
        <v>0</v>
      </c>
    </row>
    <row r="42" spans="1:141" s="87" customFormat="1" x14ac:dyDescent="0.35">
      <c r="A42" s="87" t="str">
        <f>_xlfn.XLOOKUP(C42,[1]Adjustment!B:B,[1]Adjustment!H:H,0,0)</f>
        <v>Agree</v>
      </c>
      <c r="B42" s="87">
        <v>2192</v>
      </c>
      <c r="C42" s="88">
        <v>3302192</v>
      </c>
      <c r="D42" s="98" t="s">
        <v>200</v>
      </c>
      <c r="E42" s="89" t="s">
        <v>201</v>
      </c>
      <c r="F42" s="101"/>
      <c r="G42" s="99"/>
      <c r="H42" s="88"/>
      <c r="I42" s="88"/>
      <c r="J42" s="88"/>
      <c r="K42" s="88"/>
      <c r="L42" s="88"/>
      <c r="M42" s="88"/>
      <c r="N42" s="88"/>
      <c r="O42" s="88"/>
      <c r="P42" s="88"/>
      <c r="Q42" s="88"/>
      <c r="R42" s="88"/>
      <c r="S42" s="92"/>
      <c r="T42" s="92"/>
      <c r="U42" s="92"/>
      <c r="V42" s="92"/>
      <c r="W42" s="92"/>
      <c r="X42" s="92"/>
      <c r="Y42" s="93">
        <v>362110.86</v>
      </c>
      <c r="Z42" s="93"/>
      <c r="AA42" s="93">
        <v>11188.56</v>
      </c>
      <c r="AB42" s="93">
        <v>2677340.4900000002</v>
      </c>
      <c r="AC42" s="93">
        <v>0</v>
      </c>
      <c r="AD42" s="93">
        <v>77548.75</v>
      </c>
      <c r="AE42" s="93">
        <v>0</v>
      </c>
      <c r="AF42" s="93">
        <v>353565</v>
      </c>
      <c r="AG42" s="93">
        <v>800</v>
      </c>
      <c r="AH42" s="93">
        <v>0</v>
      </c>
      <c r="AI42" s="93">
        <v>0</v>
      </c>
      <c r="AJ42" s="93">
        <v>150127.65000000014</v>
      </c>
      <c r="AK42" s="93">
        <v>0</v>
      </c>
      <c r="AL42" s="93">
        <v>0</v>
      </c>
      <c r="AM42" s="93">
        <v>0</v>
      </c>
      <c r="AN42" s="93">
        <v>5273.35</v>
      </c>
      <c r="AO42" s="93">
        <v>0</v>
      </c>
      <c r="AP42" s="93">
        <v>0</v>
      </c>
      <c r="AQ42" s="93">
        <v>0</v>
      </c>
      <c r="AR42" s="93">
        <v>0</v>
      </c>
      <c r="AS42" s="93">
        <v>0</v>
      </c>
      <c r="AT42" s="93">
        <v>0</v>
      </c>
      <c r="AU42" s="93">
        <v>59197.75</v>
      </c>
      <c r="AV42" s="93">
        <v>21171</v>
      </c>
      <c r="AW42" s="93">
        <v>1377191.7000000004</v>
      </c>
      <c r="AX42" s="93">
        <v>0</v>
      </c>
      <c r="AY42" s="93">
        <v>453588.91</v>
      </c>
      <c r="AZ42" s="93">
        <v>58120.480000000003</v>
      </c>
      <c r="BA42" s="93">
        <v>336420.19</v>
      </c>
      <c r="BB42" s="93">
        <v>0</v>
      </c>
      <c r="BC42" s="93">
        <v>93114.27</v>
      </c>
      <c r="BD42" s="93">
        <v>175.91</v>
      </c>
      <c r="BE42" s="93">
        <v>11188.5</v>
      </c>
      <c r="BF42" s="93">
        <v>0</v>
      </c>
      <c r="BG42" s="93">
        <v>0</v>
      </c>
      <c r="BH42" s="93">
        <v>50459.97</v>
      </c>
      <c r="BI42" s="93">
        <v>110</v>
      </c>
      <c r="BJ42" s="93">
        <v>0</v>
      </c>
      <c r="BK42" s="93">
        <v>6184.97</v>
      </c>
      <c r="BL42" s="93">
        <v>93465.54</v>
      </c>
      <c r="BM42" s="93">
        <v>0</v>
      </c>
      <c r="BN42" s="93">
        <v>6784.63</v>
      </c>
      <c r="BO42" s="93">
        <v>191698.98</v>
      </c>
      <c r="BP42" s="93">
        <v>4122.33</v>
      </c>
      <c r="BQ42" s="93">
        <v>25519.61</v>
      </c>
      <c r="BR42" s="93">
        <v>21153.83</v>
      </c>
      <c r="BS42" s="93">
        <v>4895</v>
      </c>
      <c r="BT42" s="93">
        <v>3945.6</v>
      </c>
      <c r="BU42" s="93">
        <v>142353.44</v>
      </c>
      <c r="BV42" s="93">
        <v>187759.88</v>
      </c>
      <c r="BW42" s="93">
        <v>0</v>
      </c>
      <c r="BX42" s="93">
        <v>94868.160000000003</v>
      </c>
      <c r="BY42" s="93">
        <v>0</v>
      </c>
      <c r="BZ42" s="93">
        <v>0</v>
      </c>
      <c r="CA42" s="93"/>
      <c r="CB42" s="93">
        <v>0</v>
      </c>
      <c r="CC42" s="93">
        <v>0</v>
      </c>
      <c r="CD42" s="93">
        <v>10007.5</v>
      </c>
      <c r="CE42" s="93">
        <v>21434.2</v>
      </c>
      <c r="CF42" s="93">
        <v>0</v>
      </c>
      <c r="CG42" s="93">
        <v>0</v>
      </c>
      <c r="CH42" s="93">
        <v>0</v>
      </c>
      <c r="CI42" s="93">
        <v>0</v>
      </c>
      <c r="CJ42" s="93">
        <v>42465.440000000002</v>
      </c>
      <c r="CK42" s="93"/>
      <c r="CL42" s="93">
        <v>544012.94999999972</v>
      </c>
      <c r="CM42" s="93"/>
      <c r="CN42" s="93">
        <v>164.81999999999971</v>
      </c>
      <c r="CO42" s="93">
        <v>0</v>
      </c>
      <c r="CP42" s="93">
        <v>0</v>
      </c>
      <c r="CQ42" s="93">
        <v>0</v>
      </c>
      <c r="CR42" s="100"/>
      <c r="CS42" s="95">
        <v>493454.9500000003</v>
      </c>
      <c r="CT42" s="95">
        <v>0</v>
      </c>
      <c r="CU42" s="96">
        <v>544012.94999999995</v>
      </c>
      <c r="CV42" s="96">
        <v>-50558</v>
      </c>
      <c r="CW42" s="96">
        <v>-50557.999999999651</v>
      </c>
      <c r="CX42" s="95">
        <v>-50558</v>
      </c>
      <c r="CY42" s="95">
        <v>493454.94999999995</v>
      </c>
      <c r="CZ42" s="97">
        <v>-6911.5</v>
      </c>
      <c r="DA42" s="95">
        <v>-6911.5</v>
      </c>
      <c r="DB42" s="95">
        <v>3992.9599999998463</v>
      </c>
      <c r="DC42" s="95">
        <v>0</v>
      </c>
      <c r="DD42" s="96">
        <v>-50558</v>
      </c>
      <c r="DF42" s="95">
        <v>3.4924596548080444E-10</v>
      </c>
      <c r="DI42" s="95">
        <v>493454.9500000003</v>
      </c>
      <c r="DJ42" s="95">
        <v>0</v>
      </c>
      <c r="DK42" s="96">
        <v>544012.94999999995</v>
      </c>
      <c r="DL42" s="96">
        <v>-50558</v>
      </c>
      <c r="DQ42" s="88">
        <v>3302192</v>
      </c>
      <c r="DT42" s="95">
        <f t="shared" si="2"/>
        <v>3345023.9900000007</v>
      </c>
      <c r="DU42" s="95">
        <f t="shared" si="3"/>
        <v>3163121.9000000008</v>
      </c>
      <c r="DV42" s="95">
        <f t="shared" si="4"/>
        <v>181902.08999999985</v>
      </c>
      <c r="DW42" s="95">
        <f t="shared" si="5"/>
        <v>31441.7</v>
      </c>
      <c r="DX42" s="95">
        <f t="shared" si="6"/>
        <v>42465.440000000002</v>
      </c>
      <c r="DY42" s="95">
        <f t="shared" si="9"/>
        <v>-11023.740000000002</v>
      </c>
      <c r="EA42" s="95">
        <f t="shared" si="10"/>
        <v>362110.86</v>
      </c>
      <c r="EB42" s="95">
        <f t="shared" si="11"/>
        <v>181902.08999999985</v>
      </c>
      <c r="EC42" s="95">
        <f t="shared" si="12"/>
        <v>544012.94999999984</v>
      </c>
      <c r="ED42" s="95">
        <v>544012.94999999984</v>
      </c>
      <c r="EE42" s="95">
        <f t="shared" si="7"/>
        <v>0</v>
      </c>
      <c r="EF42" s="95"/>
      <c r="EG42" s="95">
        <f t="shared" si="13"/>
        <v>11188.56</v>
      </c>
      <c r="EH42" s="95">
        <f t="shared" si="16"/>
        <v>-11023.740000000002</v>
      </c>
      <c r="EI42" s="95">
        <f t="shared" si="14"/>
        <v>164.81999999999789</v>
      </c>
      <c r="EJ42" s="97">
        <v>164.81999999999789</v>
      </c>
      <c r="EK42" s="95">
        <f t="shared" si="15"/>
        <v>0</v>
      </c>
    </row>
    <row r="43" spans="1:141" s="87" customFormat="1" x14ac:dyDescent="0.35">
      <c r="A43" s="87" t="str">
        <f>_xlfn.XLOOKUP(C43,[1]Adjustment!B:B,[1]Adjustment!H:H,0,0)</f>
        <v>Agree</v>
      </c>
      <c r="B43" s="87">
        <v>2225</v>
      </c>
      <c r="C43" s="88">
        <v>3302225</v>
      </c>
      <c r="D43" s="98" t="s">
        <v>202</v>
      </c>
      <c r="E43" s="89" t="s">
        <v>203</v>
      </c>
      <c r="F43" s="101"/>
      <c r="G43" s="99"/>
      <c r="H43" s="88"/>
      <c r="I43" s="88"/>
      <c r="J43" s="88"/>
      <c r="K43" s="88"/>
      <c r="L43" s="88"/>
      <c r="M43" s="88"/>
      <c r="N43" s="88"/>
      <c r="O43" s="88"/>
      <c r="P43" s="88"/>
      <c r="Q43" s="88"/>
      <c r="R43" s="88"/>
      <c r="S43" s="92"/>
      <c r="T43" s="92"/>
      <c r="U43" s="92"/>
      <c r="V43" s="92"/>
      <c r="W43" s="92"/>
      <c r="X43" s="92"/>
      <c r="Y43" s="93">
        <v>398992.25</v>
      </c>
      <c r="Z43" s="93"/>
      <c r="AA43" s="93">
        <v>24929.65</v>
      </c>
      <c r="AB43" s="93">
        <v>1896319.47</v>
      </c>
      <c r="AC43" s="93">
        <v>0</v>
      </c>
      <c r="AD43" s="93">
        <v>233346.14</v>
      </c>
      <c r="AE43" s="93">
        <v>0</v>
      </c>
      <c r="AF43" s="93">
        <v>242985.5</v>
      </c>
      <c r="AG43" s="93">
        <v>5827.72</v>
      </c>
      <c r="AH43" s="93">
        <v>0</v>
      </c>
      <c r="AI43" s="93">
        <v>0</v>
      </c>
      <c r="AJ43" s="93">
        <v>160583.81</v>
      </c>
      <c r="AK43" s="93">
        <v>28906</v>
      </c>
      <c r="AL43" s="93">
        <v>0</v>
      </c>
      <c r="AM43" s="93">
        <v>0</v>
      </c>
      <c r="AN43" s="93">
        <v>52452.79</v>
      </c>
      <c r="AO43" s="93">
        <v>0</v>
      </c>
      <c r="AP43" s="93">
        <v>0</v>
      </c>
      <c r="AQ43" s="93">
        <v>0</v>
      </c>
      <c r="AR43" s="93">
        <v>0</v>
      </c>
      <c r="AS43" s="93">
        <v>0</v>
      </c>
      <c r="AT43" s="93">
        <v>0</v>
      </c>
      <c r="AU43" s="93">
        <v>15273.5</v>
      </c>
      <c r="AV43" s="93">
        <v>19570</v>
      </c>
      <c r="AW43" s="93">
        <v>1131222.2200000004</v>
      </c>
      <c r="AX43" s="93">
        <v>0</v>
      </c>
      <c r="AY43" s="93">
        <v>570151.80000000005</v>
      </c>
      <c r="AZ43" s="93">
        <v>77783.61</v>
      </c>
      <c r="BA43" s="93">
        <v>136202.57999999999</v>
      </c>
      <c r="BB43" s="93">
        <v>0</v>
      </c>
      <c r="BC43" s="93">
        <v>87528.13</v>
      </c>
      <c r="BD43" s="93">
        <v>2642.7</v>
      </c>
      <c r="BE43" s="93">
        <v>9153.58</v>
      </c>
      <c r="BF43" s="93">
        <v>0</v>
      </c>
      <c r="BG43" s="93">
        <v>0</v>
      </c>
      <c r="BH43" s="93">
        <v>35119.160000000003</v>
      </c>
      <c r="BI43" s="93">
        <v>904.29</v>
      </c>
      <c r="BJ43" s="93">
        <v>602.47</v>
      </c>
      <c r="BK43" s="93">
        <v>8239.7999999999993</v>
      </c>
      <c r="BL43" s="93">
        <v>65586.490000000005</v>
      </c>
      <c r="BM43" s="93">
        <v>19797.7</v>
      </c>
      <c r="BN43" s="93">
        <v>13970.07</v>
      </c>
      <c r="BO43" s="93">
        <v>49126.099999999664</v>
      </c>
      <c r="BP43" s="93">
        <v>0</v>
      </c>
      <c r="BQ43" s="93">
        <v>0</v>
      </c>
      <c r="BR43" s="93">
        <v>68542.94</v>
      </c>
      <c r="BS43" s="93">
        <v>4895</v>
      </c>
      <c r="BT43" s="93">
        <v>7960</v>
      </c>
      <c r="BU43" s="93">
        <v>126974.74</v>
      </c>
      <c r="BV43" s="93">
        <v>61975.92</v>
      </c>
      <c r="BW43" s="93">
        <v>51654.09</v>
      </c>
      <c r="BX43" s="93">
        <v>87858.62</v>
      </c>
      <c r="BY43" s="93">
        <v>0</v>
      </c>
      <c r="BZ43" s="93">
        <v>0</v>
      </c>
      <c r="CA43" s="93"/>
      <c r="CB43" s="93">
        <v>0</v>
      </c>
      <c r="CC43" s="93">
        <v>0</v>
      </c>
      <c r="CD43" s="93">
        <v>8016.25</v>
      </c>
      <c r="CE43" s="93">
        <v>17221.599999999999</v>
      </c>
      <c r="CF43" s="93">
        <v>0</v>
      </c>
      <c r="CG43" s="93">
        <v>0</v>
      </c>
      <c r="CH43" s="93">
        <v>0</v>
      </c>
      <c r="CI43" s="93">
        <v>0</v>
      </c>
      <c r="CJ43" s="93">
        <v>0</v>
      </c>
      <c r="CK43" s="93"/>
      <c r="CL43" s="93">
        <v>436365.16999999946</v>
      </c>
      <c r="CM43" s="93"/>
      <c r="CN43" s="93">
        <v>50167.5</v>
      </c>
      <c r="CO43" s="93">
        <v>0</v>
      </c>
      <c r="CP43" s="93">
        <v>0</v>
      </c>
      <c r="CQ43" s="93">
        <v>0</v>
      </c>
      <c r="CR43" s="100"/>
      <c r="CS43" s="95">
        <v>436365.16999999993</v>
      </c>
      <c r="CT43" s="95">
        <v>50167.5</v>
      </c>
      <c r="CU43" s="96">
        <v>436365.17</v>
      </c>
      <c r="CV43" s="96">
        <v>50167.5</v>
      </c>
      <c r="CW43" s="96">
        <v>0</v>
      </c>
      <c r="CX43" s="95">
        <v>0</v>
      </c>
      <c r="CY43" s="95">
        <v>486532.67</v>
      </c>
      <c r="CZ43" s="97">
        <v>17221.599999999999</v>
      </c>
      <c r="DA43" s="95">
        <v>17221.599999999999</v>
      </c>
      <c r="DB43" s="95">
        <v>0</v>
      </c>
      <c r="DC43" s="95">
        <v>-5.0000000337604433E-2</v>
      </c>
      <c r="DD43" s="96"/>
      <c r="DF43" s="95">
        <v>-5.8207660913467407E-11</v>
      </c>
      <c r="DI43" s="95">
        <v>436365.16999999993</v>
      </c>
      <c r="DJ43" s="95">
        <v>50167.5</v>
      </c>
      <c r="DK43" s="96">
        <v>436365.17</v>
      </c>
      <c r="DL43" s="96">
        <v>50167.5</v>
      </c>
      <c r="DQ43" s="88">
        <v>3302225</v>
      </c>
      <c r="DT43" s="95">
        <f t="shared" si="2"/>
        <v>2655264.9300000002</v>
      </c>
      <c r="DU43" s="95">
        <f t="shared" si="3"/>
        <v>2617892.0100000007</v>
      </c>
      <c r="DV43" s="95">
        <f t="shared" si="4"/>
        <v>37372.91999999946</v>
      </c>
      <c r="DW43" s="95">
        <f t="shared" si="5"/>
        <v>25237.85</v>
      </c>
      <c r="DX43" s="95">
        <f t="shared" si="6"/>
        <v>0</v>
      </c>
      <c r="DY43" s="95">
        <f t="shared" si="9"/>
        <v>25237.85</v>
      </c>
      <c r="EA43" s="95">
        <f t="shared" si="10"/>
        <v>398992.25</v>
      </c>
      <c r="EB43" s="95">
        <f t="shared" si="11"/>
        <v>37372.91999999946</v>
      </c>
      <c r="EC43" s="95">
        <f t="shared" si="12"/>
        <v>436365.16999999946</v>
      </c>
      <c r="ED43" s="95">
        <v>436365.16999999946</v>
      </c>
      <c r="EE43" s="95">
        <f t="shared" si="7"/>
        <v>0</v>
      </c>
      <c r="EF43" s="95"/>
      <c r="EG43" s="95">
        <f t="shared" si="13"/>
        <v>24929.65</v>
      </c>
      <c r="EH43" s="95">
        <f t="shared" si="16"/>
        <v>25237.85</v>
      </c>
      <c r="EI43" s="95">
        <f t="shared" si="14"/>
        <v>50167.5</v>
      </c>
      <c r="EJ43" s="97">
        <v>50167.5</v>
      </c>
      <c r="EK43" s="95">
        <f t="shared" si="15"/>
        <v>0</v>
      </c>
    </row>
    <row r="44" spans="1:141" s="87" customFormat="1" x14ac:dyDescent="0.35">
      <c r="A44" s="87" t="str">
        <f>_xlfn.XLOOKUP(C44,[1]Adjustment!B:B,[1]Adjustment!H:H,0,0)</f>
        <v>Agree</v>
      </c>
      <c r="B44" s="87">
        <v>2231</v>
      </c>
      <c r="C44" s="88">
        <v>3302231</v>
      </c>
      <c r="D44" s="98" t="s">
        <v>204</v>
      </c>
      <c r="E44" s="89" t="s">
        <v>205</v>
      </c>
      <c r="F44" s="101"/>
      <c r="G44" s="99"/>
      <c r="H44" s="88"/>
      <c r="I44" s="88"/>
      <c r="J44" s="88"/>
      <c r="K44" s="88"/>
      <c r="L44" s="88"/>
      <c r="M44" s="88"/>
      <c r="N44" s="88"/>
      <c r="O44" s="88"/>
      <c r="P44" s="88"/>
      <c r="Q44" s="88"/>
      <c r="R44" s="88"/>
      <c r="S44" s="92"/>
      <c r="T44" s="92"/>
      <c r="U44" s="92"/>
      <c r="V44" s="92"/>
      <c r="W44" s="92"/>
      <c r="X44" s="92"/>
      <c r="Y44" s="93">
        <v>213562.38</v>
      </c>
      <c r="Z44" s="93"/>
      <c r="AA44" s="93">
        <v>22264</v>
      </c>
      <c r="AB44" s="93">
        <v>2353295.54</v>
      </c>
      <c r="AC44" s="93">
        <v>0</v>
      </c>
      <c r="AD44" s="93">
        <v>33197.5</v>
      </c>
      <c r="AE44" s="93">
        <v>0</v>
      </c>
      <c r="AF44" s="93">
        <v>224385.5</v>
      </c>
      <c r="AG44" s="93">
        <v>2800</v>
      </c>
      <c r="AH44" s="93">
        <v>0</v>
      </c>
      <c r="AI44" s="93">
        <v>0</v>
      </c>
      <c r="AJ44" s="93">
        <v>28893.91</v>
      </c>
      <c r="AK44" s="93">
        <v>0</v>
      </c>
      <c r="AL44" s="93">
        <v>0</v>
      </c>
      <c r="AM44" s="93">
        <v>0</v>
      </c>
      <c r="AN44" s="93">
        <v>26339.57</v>
      </c>
      <c r="AO44" s="93">
        <v>0</v>
      </c>
      <c r="AP44" s="93">
        <v>0</v>
      </c>
      <c r="AQ44" s="93">
        <v>0</v>
      </c>
      <c r="AR44" s="93">
        <v>0</v>
      </c>
      <c r="AS44" s="93">
        <v>0</v>
      </c>
      <c r="AT44" s="93">
        <v>0</v>
      </c>
      <c r="AU44" s="93">
        <v>22790.6</v>
      </c>
      <c r="AV44" s="93">
        <v>72357</v>
      </c>
      <c r="AW44" s="93">
        <v>1189273.9299999995</v>
      </c>
      <c r="AX44" s="93">
        <v>0</v>
      </c>
      <c r="AY44" s="93">
        <v>543384.24</v>
      </c>
      <c r="AZ44" s="93">
        <v>33076.58</v>
      </c>
      <c r="BA44" s="93">
        <v>279917.74</v>
      </c>
      <c r="BB44" s="93">
        <v>0</v>
      </c>
      <c r="BC44" s="93">
        <v>62159.519999999997</v>
      </c>
      <c r="BD44" s="93">
        <v>1537.3</v>
      </c>
      <c r="BE44" s="93">
        <v>735</v>
      </c>
      <c r="BF44" s="93">
        <v>0</v>
      </c>
      <c r="BG44" s="93">
        <v>0</v>
      </c>
      <c r="BH44" s="93">
        <v>61289.82</v>
      </c>
      <c r="BI44" s="93">
        <v>1694.8</v>
      </c>
      <c r="BJ44" s="93">
        <v>2306.66</v>
      </c>
      <c r="BK44" s="93">
        <v>7981.96</v>
      </c>
      <c r="BL44" s="93">
        <v>49865.7</v>
      </c>
      <c r="BM44" s="93">
        <v>0</v>
      </c>
      <c r="BN44" s="93">
        <v>3367.71</v>
      </c>
      <c r="BO44" s="93">
        <v>98196.400000000183</v>
      </c>
      <c r="BP44" s="93">
        <v>15635.41</v>
      </c>
      <c r="BQ44" s="93">
        <v>0</v>
      </c>
      <c r="BR44" s="93">
        <v>25998.69</v>
      </c>
      <c r="BS44" s="93">
        <v>4895</v>
      </c>
      <c r="BT44" s="93">
        <v>3945.6</v>
      </c>
      <c r="BU44" s="93">
        <v>201380.87</v>
      </c>
      <c r="BV44" s="93">
        <v>100607.79</v>
      </c>
      <c r="BW44" s="93">
        <v>0</v>
      </c>
      <c r="BX44" s="93">
        <v>73798.179999999993</v>
      </c>
      <c r="BY44" s="93">
        <v>0</v>
      </c>
      <c r="BZ44" s="93">
        <v>0</v>
      </c>
      <c r="CA44" s="93"/>
      <c r="CB44" s="93">
        <v>0</v>
      </c>
      <c r="CC44" s="93">
        <v>0</v>
      </c>
      <c r="CD44" s="93">
        <v>8974.75</v>
      </c>
      <c r="CE44" s="93">
        <v>0</v>
      </c>
      <c r="CF44" s="93">
        <v>0</v>
      </c>
      <c r="CG44" s="93">
        <v>0</v>
      </c>
      <c r="CH44" s="93">
        <v>0</v>
      </c>
      <c r="CI44" s="93">
        <v>30523</v>
      </c>
      <c r="CJ44" s="93">
        <v>0</v>
      </c>
      <c r="CK44" s="93"/>
      <c r="CL44" s="93">
        <v>216573.10000000009</v>
      </c>
      <c r="CM44" s="93"/>
      <c r="CN44" s="93">
        <v>715.75</v>
      </c>
      <c r="CO44" s="93">
        <v>0</v>
      </c>
      <c r="CP44" s="93">
        <v>0</v>
      </c>
      <c r="CQ44" s="93">
        <v>0</v>
      </c>
      <c r="CR44" s="100"/>
      <c r="CS44" s="95">
        <v>206396.79999999993</v>
      </c>
      <c r="CT44" s="95">
        <v>0</v>
      </c>
      <c r="CU44" s="96">
        <v>216573.1</v>
      </c>
      <c r="CV44" s="96">
        <v>-10176.299999999999</v>
      </c>
      <c r="CW44" s="96">
        <v>-10176.300000000076</v>
      </c>
      <c r="CX44" s="95">
        <v>-10176.299999999999</v>
      </c>
      <c r="CY44" s="95">
        <v>206396.80000000002</v>
      </c>
      <c r="CZ44" s="97">
        <v>0</v>
      </c>
      <c r="DA44" s="95">
        <v>0</v>
      </c>
      <c r="DB44" s="95">
        <v>0</v>
      </c>
      <c r="DC44" s="95">
        <v>-1.9999999814899638E-2</v>
      </c>
      <c r="DD44" s="96">
        <v>-10176.299999999999</v>
      </c>
      <c r="DF44" s="95">
        <v>-7.6397554948925972E-11</v>
      </c>
      <c r="DI44" s="95">
        <v>206396.79999999993</v>
      </c>
      <c r="DJ44" s="95">
        <v>0</v>
      </c>
      <c r="DK44" s="96">
        <v>216573.1</v>
      </c>
      <c r="DL44" s="96">
        <v>-10176.299999999999</v>
      </c>
      <c r="DQ44" s="88">
        <v>3302231</v>
      </c>
      <c r="DT44" s="95">
        <f t="shared" si="2"/>
        <v>2764059.62</v>
      </c>
      <c r="DU44" s="95">
        <f t="shared" si="3"/>
        <v>2761048.9</v>
      </c>
      <c r="DV44" s="95">
        <f t="shared" si="4"/>
        <v>3010.7200000002049</v>
      </c>
      <c r="DW44" s="95">
        <f t="shared" si="5"/>
        <v>8974.75</v>
      </c>
      <c r="DX44" s="95">
        <f t="shared" si="6"/>
        <v>30523</v>
      </c>
      <c r="DY44" s="95">
        <f t="shared" si="9"/>
        <v>-21548.25</v>
      </c>
      <c r="EA44" s="95">
        <f t="shared" si="10"/>
        <v>213562.38</v>
      </c>
      <c r="EB44" s="95">
        <f t="shared" si="11"/>
        <v>3010.7200000002049</v>
      </c>
      <c r="EC44" s="95">
        <f t="shared" si="12"/>
        <v>216573.10000000021</v>
      </c>
      <c r="ED44" s="95">
        <v>216573.10000000021</v>
      </c>
      <c r="EE44" s="95">
        <f t="shared" si="7"/>
        <v>0</v>
      </c>
      <c r="EF44" s="95"/>
      <c r="EG44" s="95">
        <f t="shared" si="13"/>
        <v>22264</v>
      </c>
      <c r="EH44" s="95">
        <f t="shared" si="16"/>
        <v>-21548.25</v>
      </c>
      <c r="EI44" s="95">
        <f t="shared" si="14"/>
        <v>715.75</v>
      </c>
      <c r="EJ44" s="97">
        <v>715.75</v>
      </c>
      <c r="EK44" s="95">
        <f t="shared" si="15"/>
        <v>0</v>
      </c>
    </row>
    <row r="45" spans="1:141" s="87" customFormat="1" x14ac:dyDescent="0.35">
      <c r="A45" s="87" t="str">
        <f>_xlfn.XLOOKUP(C45,[1]Adjustment!B:B,[1]Adjustment!H:H,0,0)</f>
        <v>Agree</v>
      </c>
      <c r="B45" s="87">
        <v>2239</v>
      </c>
      <c r="C45" s="88">
        <v>3302239</v>
      </c>
      <c r="D45" s="98" t="s">
        <v>206</v>
      </c>
      <c r="E45" s="89" t="s">
        <v>207</v>
      </c>
      <c r="F45" s="101"/>
      <c r="G45" s="99"/>
      <c r="H45" s="88"/>
      <c r="I45" s="88"/>
      <c r="J45" s="88"/>
      <c r="K45" s="88"/>
      <c r="L45" s="88"/>
      <c r="M45" s="88"/>
      <c r="N45" s="88"/>
      <c r="O45" s="88"/>
      <c r="P45" s="88"/>
      <c r="Q45" s="88"/>
      <c r="R45" s="88"/>
      <c r="S45" s="92"/>
      <c r="T45" s="92"/>
      <c r="U45" s="92"/>
      <c r="V45" s="92"/>
      <c r="W45" s="92"/>
      <c r="X45" s="92"/>
      <c r="Y45" s="93">
        <v>138160.85</v>
      </c>
      <c r="Z45" s="93"/>
      <c r="AA45" s="93">
        <v>9502.09</v>
      </c>
      <c r="AB45" s="93">
        <v>1137470.52</v>
      </c>
      <c r="AC45" s="93">
        <v>0</v>
      </c>
      <c r="AD45" s="93">
        <v>73412.5</v>
      </c>
      <c r="AE45" s="93">
        <v>0</v>
      </c>
      <c r="AF45" s="93">
        <v>121100</v>
      </c>
      <c r="AG45" s="93">
        <v>3456.93</v>
      </c>
      <c r="AH45" s="93">
        <v>1200</v>
      </c>
      <c r="AI45" s="93">
        <v>0</v>
      </c>
      <c r="AJ45" s="93">
        <v>107479.59</v>
      </c>
      <c r="AK45" s="93">
        <v>0</v>
      </c>
      <c r="AL45" s="93">
        <v>0</v>
      </c>
      <c r="AM45" s="93">
        <v>0</v>
      </c>
      <c r="AN45" s="93">
        <v>75710.2</v>
      </c>
      <c r="AO45" s="93">
        <v>0</v>
      </c>
      <c r="AP45" s="93">
        <v>0</v>
      </c>
      <c r="AQ45" s="93">
        <v>0</v>
      </c>
      <c r="AR45" s="93">
        <v>0</v>
      </c>
      <c r="AS45" s="93">
        <v>0</v>
      </c>
      <c r="AT45" s="93">
        <v>0</v>
      </c>
      <c r="AU45" s="93">
        <v>9357.5</v>
      </c>
      <c r="AV45" s="93">
        <v>57957</v>
      </c>
      <c r="AW45" s="93">
        <v>526930.4999999993</v>
      </c>
      <c r="AX45" s="93">
        <v>0</v>
      </c>
      <c r="AY45" s="93">
        <v>378392.53</v>
      </c>
      <c r="AZ45" s="93">
        <v>12663.7</v>
      </c>
      <c r="BA45" s="93">
        <v>322368.61</v>
      </c>
      <c r="BB45" s="93">
        <v>0</v>
      </c>
      <c r="BC45" s="93">
        <v>95339.41</v>
      </c>
      <c r="BD45" s="93">
        <v>104.8</v>
      </c>
      <c r="BE45" s="93">
        <v>5927.84</v>
      </c>
      <c r="BF45" s="93">
        <v>0</v>
      </c>
      <c r="BG45" s="93">
        <v>0</v>
      </c>
      <c r="BH45" s="93">
        <v>20733.919999999998</v>
      </c>
      <c r="BI45" s="93">
        <v>1890.13</v>
      </c>
      <c r="BJ45" s="93">
        <v>8742.4599999999991</v>
      </c>
      <c r="BK45" s="93">
        <v>5522.48</v>
      </c>
      <c r="BL45" s="93">
        <v>17561.689999999999</v>
      </c>
      <c r="BM45" s="93">
        <v>0</v>
      </c>
      <c r="BN45" s="93">
        <v>2745.29</v>
      </c>
      <c r="BO45" s="93">
        <v>38442.960000000508</v>
      </c>
      <c r="BP45" s="93">
        <v>7487.96</v>
      </c>
      <c r="BQ45" s="93">
        <v>240.4</v>
      </c>
      <c r="BR45" s="93">
        <v>30078.080000000002</v>
      </c>
      <c r="BS45" s="93">
        <v>4895</v>
      </c>
      <c r="BT45" s="93">
        <v>0</v>
      </c>
      <c r="BU45" s="93">
        <v>115924.3</v>
      </c>
      <c r="BV45" s="93">
        <v>6007</v>
      </c>
      <c r="BW45" s="93">
        <v>2250</v>
      </c>
      <c r="BX45" s="93">
        <v>59603.14</v>
      </c>
      <c r="BY45" s="93">
        <v>0</v>
      </c>
      <c r="BZ45" s="93">
        <v>0</v>
      </c>
      <c r="CA45" s="93"/>
      <c r="CB45" s="93">
        <v>0</v>
      </c>
      <c r="CC45" s="93">
        <v>0</v>
      </c>
      <c r="CD45" s="93">
        <v>6038.5</v>
      </c>
      <c r="CE45" s="93">
        <v>13711.1</v>
      </c>
      <c r="CF45" s="93">
        <v>0</v>
      </c>
      <c r="CG45" s="93">
        <v>0</v>
      </c>
      <c r="CH45" s="93">
        <v>0</v>
      </c>
      <c r="CI45" s="93">
        <v>0</v>
      </c>
      <c r="CJ45" s="93">
        <v>20478.27</v>
      </c>
      <c r="CK45" s="93"/>
      <c r="CL45" s="93">
        <v>61452.890000000596</v>
      </c>
      <c r="CM45" s="93"/>
      <c r="CN45" s="93">
        <v>8773.4199999999983</v>
      </c>
      <c r="CO45" s="93">
        <v>0</v>
      </c>
      <c r="CP45" s="93">
        <v>0</v>
      </c>
      <c r="CQ45" s="93">
        <v>0</v>
      </c>
      <c r="CR45" s="100"/>
      <c r="CS45" s="95">
        <v>51222.130000000034</v>
      </c>
      <c r="CT45" s="95">
        <v>0</v>
      </c>
      <c r="CU45" s="96">
        <v>61452.89</v>
      </c>
      <c r="CV45" s="96">
        <v>-10230.76</v>
      </c>
      <c r="CW45" s="96">
        <v>-10230.759999999966</v>
      </c>
      <c r="CX45" s="95">
        <v>-10230.76</v>
      </c>
      <c r="CY45" s="95">
        <v>51222.13</v>
      </c>
      <c r="CZ45" s="97">
        <v>13711.1</v>
      </c>
      <c r="DA45" s="95">
        <v>13711.1</v>
      </c>
      <c r="DB45" s="95">
        <v>0</v>
      </c>
      <c r="DC45" s="95">
        <v>-345.24999999949068</v>
      </c>
      <c r="DD45" s="96">
        <v>-10230.76</v>
      </c>
      <c r="DF45" s="95">
        <v>3.4560798667371273E-11</v>
      </c>
      <c r="DI45" s="95">
        <v>51222.130000000034</v>
      </c>
      <c r="DJ45" s="95">
        <v>0</v>
      </c>
      <c r="DK45" s="96">
        <v>61452.89</v>
      </c>
      <c r="DL45" s="96">
        <v>-10230.76</v>
      </c>
      <c r="DQ45" s="88">
        <v>3302239</v>
      </c>
      <c r="DT45" s="95">
        <f t="shared" si="2"/>
        <v>1587144.24</v>
      </c>
      <c r="DU45" s="95">
        <f t="shared" si="3"/>
        <v>1663852.1999999995</v>
      </c>
      <c r="DV45" s="95">
        <f t="shared" si="4"/>
        <v>-76707.959999999497</v>
      </c>
      <c r="DW45" s="95">
        <f t="shared" si="5"/>
        <v>19749.599999999999</v>
      </c>
      <c r="DX45" s="95">
        <f t="shared" si="6"/>
        <v>20478.27</v>
      </c>
      <c r="DY45" s="95">
        <f t="shared" si="9"/>
        <v>-728.67000000000189</v>
      </c>
      <c r="EA45" s="95">
        <f t="shared" si="10"/>
        <v>138160.85</v>
      </c>
      <c r="EB45" s="95">
        <f t="shared" si="11"/>
        <v>-76707.959999999497</v>
      </c>
      <c r="EC45" s="95">
        <f t="shared" si="12"/>
        <v>61452.890000000509</v>
      </c>
      <c r="ED45" s="95">
        <v>61452.890000000509</v>
      </c>
      <c r="EE45" s="95">
        <f t="shared" si="7"/>
        <v>0</v>
      </c>
      <c r="EF45" s="95"/>
      <c r="EG45" s="95">
        <f t="shared" si="13"/>
        <v>9502.09</v>
      </c>
      <c r="EH45" s="95">
        <f t="shared" si="16"/>
        <v>-728.67000000000189</v>
      </c>
      <c r="EI45" s="95">
        <f t="shared" si="14"/>
        <v>8773.4199999999983</v>
      </c>
      <c r="EJ45" s="97">
        <v>8773.4199999999983</v>
      </c>
      <c r="EK45" s="95">
        <f t="shared" si="15"/>
        <v>0</v>
      </c>
    </row>
    <row r="46" spans="1:141" s="87" customFormat="1" x14ac:dyDescent="0.35">
      <c r="A46" s="87" t="str">
        <f>_xlfn.XLOOKUP(C46,[1]Adjustment!B:B,[1]Adjustment!H:H,0,0)</f>
        <v>Agree</v>
      </c>
      <c r="B46" s="87">
        <v>2241</v>
      </c>
      <c r="C46" s="88">
        <v>3302241</v>
      </c>
      <c r="D46" s="98" t="s">
        <v>208</v>
      </c>
      <c r="E46" s="89" t="s">
        <v>209</v>
      </c>
      <c r="F46" s="101"/>
      <c r="G46" s="99"/>
      <c r="H46" s="88"/>
      <c r="I46" s="88"/>
      <c r="J46" s="88"/>
      <c r="K46" s="88"/>
      <c r="L46" s="88"/>
      <c r="M46" s="88"/>
      <c r="N46" s="88"/>
      <c r="O46" s="88"/>
      <c r="P46" s="88"/>
      <c r="Q46" s="88"/>
      <c r="R46" s="88"/>
      <c r="S46" s="92"/>
      <c r="T46" s="92"/>
      <c r="U46" s="92"/>
      <c r="V46" s="92"/>
      <c r="W46" s="92"/>
      <c r="X46" s="92"/>
      <c r="Y46" s="93">
        <v>291048.3</v>
      </c>
      <c r="Z46" s="93"/>
      <c r="AA46" s="93">
        <v>7890.93</v>
      </c>
      <c r="AB46" s="93">
        <v>1522479.26</v>
      </c>
      <c r="AC46" s="93">
        <v>0</v>
      </c>
      <c r="AD46" s="93">
        <v>52707.5</v>
      </c>
      <c r="AE46" s="93">
        <v>0</v>
      </c>
      <c r="AF46" s="93">
        <v>217465.5</v>
      </c>
      <c r="AG46" s="93">
        <v>200</v>
      </c>
      <c r="AH46" s="93">
        <v>0</v>
      </c>
      <c r="AI46" s="93">
        <v>0</v>
      </c>
      <c r="AJ46" s="93">
        <v>129826.11000000031</v>
      </c>
      <c r="AK46" s="93">
        <v>0</v>
      </c>
      <c r="AL46" s="93">
        <v>0</v>
      </c>
      <c r="AM46" s="93">
        <v>0</v>
      </c>
      <c r="AN46" s="93">
        <v>24682.52</v>
      </c>
      <c r="AO46" s="93">
        <v>0</v>
      </c>
      <c r="AP46" s="93">
        <v>0</v>
      </c>
      <c r="AQ46" s="93">
        <v>0</v>
      </c>
      <c r="AR46" s="93">
        <v>0</v>
      </c>
      <c r="AS46" s="93">
        <v>0</v>
      </c>
      <c r="AT46" s="93">
        <v>0</v>
      </c>
      <c r="AU46" s="93">
        <v>39335</v>
      </c>
      <c r="AV46" s="93">
        <v>18804</v>
      </c>
      <c r="AW46" s="93">
        <v>814600.68000000017</v>
      </c>
      <c r="AX46" s="93">
        <v>0</v>
      </c>
      <c r="AY46" s="93">
        <v>254152.4</v>
      </c>
      <c r="AZ46" s="93">
        <v>74923.61</v>
      </c>
      <c r="BA46" s="93">
        <v>232470.47</v>
      </c>
      <c r="BB46" s="93">
        <v>0</v>
      </c>
      <c r="BC46" s="93">
        <v>47593.93</v>
      </c>
      <c r="BD46" s="93">
        <v>125</v>
      </c>
      <c r="BE46" s="93">
        <v>4250</v>
      </c>
      <c r="BF46" s="93">
        <v>0</v>
      </c>
      <c r="BG46" s="93">
        <v>0</v>
      </c>
      <c r="BH46" s="93">
        <v>97108.6</v>
      </c>
      <c r="BI46" s="93">
        <v>3497.17</v>
      </c>
      <c r="BJ46" s="93">
        <v>27470.32</v>
      </c>
      <c r="BK46" s="93">
        <v>6494.07</v>
      </c>
      <c r="BL46" s="93">
        <v>25309.279999999999</v>
      </c>
      <c r="BM46" s="93">
        <v>0</v>
      </c>
      <c r="BN46" s="93">
        <v>12733.98</v>
      </c>
      <c r="BO46" s="93">
        <v>117324.32</v>
      </c>
      <c r="BP46" s="93">
        <v>0</v>
      </c>
      <c r="BQ46" s="93">
        <v>96.16</v>
      </c>
      <c r="BR46" s="93">
        <v>45435.99</v>
      </c>
      <c r="BS46" s="93">
        <v>5315</v>
      </c>
      <c r="BT46" s="93">
        <v>4603.2</v>
      </c>
      <c r="BU46" s="93">
        <v>109470.59</v>
      </c>
      <c r="BV46" s="93">
        <v>3436.91</v>
      </c>
      <c r="BW46" s="93">
        <v>0</v>
      </c>
      <c r="BX46" s="93">
        <v>223192.95</v>
      </c>
      <c r="BY46" s="93">
        <v>0</v>
      </c>
      <c r="BZ46" s="93">
        <v>0</v>
      </c>
      <c r="CA46" s="93"/>
      <c r="CB46" s="93">
        <v>0</v>
      </c>
      <c r="CC46" s="93">
        <v>0</v>
      </c>
      <c r="CD46" s="93">
        <v>7313.13</v>
      </c>
      <c r="CE46" s="93">
        <v>16239</v>
      </c>
      <c r="CF46" s="93">
        <v>0</v>
      </c>
      <c r="CG46" s="93">
        <v>0</v>
      </c>
      <c r="CH46" s="93">
        <v>0</v>
      </c>
      <c r="CI46" s="93">
        <v>0</v>
      </c>
      <c r="CJ46" s="93">
        <v>7324.35</v>
      </c>
      <c r="CK46" s="93">
        <v>3404</v>
      </c>
      <c r="CL46" s="93">
        <v>186943.56000000006</v>
      </c>
      <c r="CM46" s="93"/>
      <c r="CN46" s="93">
        <v>20714.71</v>
      </c>
      <c r="CO46" s="93">
        <v>0</v>
      </c>
      <c r="CP46" s="93">
        <v>0</v>
      </c>
      <c r="CQ46" s="93">
        <v>0</v>
      </c>
      <c r="CR46" s="100"/>
      <c r="CS46" s="95">
        <v>104645.97000000015</v>
      </c>
      <c r="CT46" s="95">
        <v>63582.719999999994</v>
      </c>
      <c r="CU46" s="96">
        <v>104645.97</v>
      </c>
      <c r="CV46" s="96">
        <v>63582.720000000001</v>
      </c>
      <c r="CW46" s="96">
        <v>1.4551915228366852E-10</v>
      </c>
      <c r="CX46" s="95">
        <v>0</v>
      </c>
      <c r="CY46" s="95">
        <v>168228.69</v>
      </c>
      <c r="CZ46" s="97">
        <v>64849.58</v>
      </c>
      <c r="DA46" s="95">
        <v>64849.58</v>
      </c>
      <c r="DB46" s="95">
        <v>9.9999996891710907E-3</v>
      </c>
      <c r="DC46" s="95">
        <v>0</v>
      </c>
      <c r="DD46" s="96"/>
      <c r="DF46" s="95">
        <v>1.4551915228366852E-10</v>
      </c>
      <c r="DI46" s="95">
        <v>104645.97000000015</v>
      </c>
      <c r="DJ46" s="95">
        <v>63582.719999999994</v>
      </c>
      <c r="DK46" s="96">
        <v>104645.97</v>
      </c>
      <c r="DL46" s="96">
        <v>63582.720000000001</v>
      </c>
      <c r="DQ46" s="88">
        <v>3302241</v>
      </c>
      <c r="DT46" s="95">
        <f t="shared" si="2"/>
        <v>2005499.8900000004</v>
      </c>
      <c r="DU46" s="95">
        <f t="shared" si="3"/>
        <v>2109604.6300000004</v>
      </c>
      <c r="DV46" s="95">
        <f t="shared" si="4"/>
        <v>-104104.73999999999</v>
      </c>
      <c r="DW46" s="95">
        <f t="shared" si="5"/>
        <v>23552.13</v>
      </c>
      <c r="DX46" s="95">
        <f t="shared" si="6"/>
        <v>10728.35</v>
      </c>
      <c r="DY46" s="95">
        <f t="shared" si="9"/>
        <v>12823.78</v>
      </c>
      <c r="EA46" s="95">
        <f t="shared" si="10"/>
        <v>291048.3</v>
      </c>
      <c r="EB46" s="95">
        <f t="shared" si="11"/>
        <v>-104104.73999999999</v>
      </c>
      <c r="EC46" s="95">
        <f t="shared" si="12"/>
        <v>186943.56</v>
      </c>
      <c r="ED46" s="95">
        <v>186943.56</v>
      </c>
      <c r="EE46" s="95">
        <f t="shared" si="7"/>
        <v>0</v>
      </c>
      <c r="EF46" s="95"/>
      <c r="EG46" s="95">
        <f t="shared" si="13"/>
        <v>7890.93</v>
      </c>
      <c r="EH46" s="95">
        <f t="shared" si="16"/>
        <v>12823.78</v>
      </c>
      <c r="EI46" s="95">
        <f t="shared" si="14"/>
        <v>20714.71</v>
      </c>
      <c r="EJ46" s="97">
        <v>20714.71</v>
      </c>
      <c r="EK46" s="95">
        <f t="shared" si="15"/>
        <v>0</v>
      </c>
    </row>
    <row r="47" spans="1:141" s="87" customFormat="1" x14ac:dyDescent="0.35">
      <c r="A47" s="87" t="str">
        <f>_xlfn.XLOOKUP(C47,[1]Adjustment!B:B,[1]Adjustment!H:H,0,0)</f>
        <v>Agree</v>
      </c>
      <c r="B47" s="87">
        <v>2245</v>
      </c>
      <c r="C47" s="88">
        <v>3302245</v>
      </c>
      <c r="D47" s="98" t="s">
        <v>210</v>
      </c>
      <c r="E47" s="89" t="s">
        <v>211</v>
      </c>
      <c r="F47" s="101"/>
      <c r="G47" s="99"/>
      <c r="H47" s="88"/>
      <c r="I47" s="88"/>
      <c r="J47" s="88"/>
      <c r="K47" s="88"/>
      <c r="L47" s="88"/>
      <c r="M47" s="88"/>
      <c r="N47" s="88"/>
      <c r="O47" s="88"/>
      <c r="P47" s="88"/>
      <c r="Q47" s="88"/>
      <c r="R47" s="88"/>
      <c r="S47" s="92"/>
      <c r="T47" s="92"/>
      <c r="U47" s="92"/>
      <c r="V47" s="92"/>
      <c r="W47" s="92"/>
      <c r="X47" s="92"/>
      <c r="Y47" s="93">
        <v>329261.07</v>
      </c>
      <c r="Z47" s="93"/>
      <c r="AA47" s="93">
        <v>32065.37</v>
      </c>
      <c r="AB47" s="93">
        <v>1486842.42</v>
      </c>
      <c r="AC47" s="93">
        <v>0</v>
      </c>
      <c r="AD47" s="93">
        <v>246925.08</v>
      </c>
      <c r="AE47" s="93">
        <v>0</v>
      </c>
      <c r="AF47" s="93">
        <v>216796.5</v>
      </c>
      <c r="AG47" s="93">
        <v>0</v>
      </c>
      <c r="AH47" s="93">
        <v>0</v>
      </c>
      <c r="AI47" s="93">
        <v>0</v>
      </c>
      <c r="AJ47" s="93">
        <v>0</v>
      </c>
      <c r="AK47" s="93">
        <v>0</v>
      </c>
      <c r="AL47" s="93">
        <v>0</v>
      </c>
      <c r="AM47" s="93">
        <v>0</v>
      </c>
      <c r="AN47" s="93">
        <v>0</v>
      </c>
      <c r="AO47" s="93">
        <v>0</v>
      </c>
      <c r="AP47" s="93">
        <v>0</v>
      </c>
      <c r="AQ47" s="93">
        <v>0</v>
      </c>
      <c r="AR47" s="93">
        <v>0</v>
      </c>
      <c r="AS47" s="93">
        <v>0</v>
      </c>
      <c r="AT47" s="93">
        <v>0</v>
      </c>
      <c r="AU47" s="93">
        <v>15752.76</v>
      </c>
      <c r="AV47" s="93">
        <v>28829</v>
      </c>
      <c r="AW47" s="93">
        <v>980631.33999999962</v>
      </c>
      <c r="AX47" s="93">
        <v>0</v>
      </c>
      <c r="AY47" s="93">
        <v>219612.06</v>
      </c>
      <c r="AZ47" s="93">
        <v>25898.93</v>
      </c>
      <c r="BA47" s="93">
        <v>149976.41</v>
      </c>
      <c r="BB47" s="93">
        <v>0</v>
      </c>
      <c r="BC47" s="93">
        <v>42441.97</v>
      </c>
      <c r="BD47" s="93">
        <v>256.63</v>
      </c>
      <c r="BE47" s="93">
        <v>3435</v>
      </c>
      <c r="BF47" s="93">
        <v>0</v>
      </c>
      <c r="BG47" s="93">
        <v>3032.87</v>
      </c>
      <c r="BH47" s="93">
        <v>22999.17</v>
      </c>
      <c r="BI47" s="93">
        <v>2310</v>
      </c>
      <c r="BJ47" s="93">
        <v>0</v>
      </c>
      <c r="BK47" s="93">
        <v>6325.71</v>
      </c>
      <c r="BL47" s="93">
        <v>63209.27</v>
      </c>
      <c r="BM47" s="93">
        <v>0</v>
      </c>
      <c r="BN47" s="93">
        <v>5616.17</v>
      </c>
      <c r="BO47" s="93">
        <v>22930.97000000035</v>
      </c>
      <c r="BP47" s="93">
        <v>17815.39</v>
      </c>
      <c r="BQ47" s="93">
        <v>23753.7</v>
      </c>
      <c r="BR47" s="93">
        <v>57145.53</v>
      </c>
      <c r="BS47" s="93">
        <v>4895</v>
      </c>
      <c r="BT47" s="93">
        <v>0</v>
      </c>
      <c r="BU47" s="93">
        <v>128051.96</v>
      </c>
      <c r="BV47" s="93">
        <v>191011.45</v>
      </c>
      <c r="BW47" s="93">
        <v>480</v>
      </c>
      <c r="BX47" s="93">
        <v>148239.76</v>
      </c>
      <c r="BY47" s="93">
        <v>0</v>
      </c>
      <c r="BZ47" s="93">
        <v>0</v>
      </c>
      <c r="CA47" s="93"/>
      <c r="CB47" s="93">
        <v>0</v>
      </c>
      <c r="CC47" s="93">
        <v>0</v>
      </c>
      <c r="CD47" s="93">
        <v>6526.75</v>
      </c>
      <c r="CE47" s="93">
        <v>14549.61</v>
      </c>
      <c r="CF47" s="93">
        <v>0</v>
      </c>
      <c r="CG47" s="93">
        <v>0</v>
      </c>
      <c r="CH47" s="93">
        <v>0</v>
      </c>
      <c r="CI47" s="93">
        <v>0</v>
      </c>
      <c r="CJ47" s="93">
        <v>7500</v>
      </c>
      <c r="CK47" s="93"/>
      <c r="CL47" s="93">
        <v>204337.5400000005</v>
      </c>
      <c r="CM47" s="93"/>
      <c r="CN47" s="93">
        <v>45641.729999999996</v>
      </c>
      <c r="CO47" s="93">
        <v>0</v>
      </c>
      <c r="CP47" s="93">
        <v>0</v>
      </c>
      <c r="CQ47" s="93">
        <v>0</v>
      </c>
      <c r="CR47" s="100"/>
      <c r="CS47" s="95">
        <v>185847.99000000017</v>
      </c>
      <c r="CT47" s="95">
        <v>0</v>
      </c>
      <c r="CU47" s="96">
        <v>206368.37</v>
      </c>
      <c r="CV47" s="96">
        <v>-20520.38</v>
      </c>
      <c r="CW47" s="96">
        <v>-20520.37999999983</v>
      </c>
      <c r="CX47" s="95">
        <v>-20520.38</v>
      </c>
      <c r="CY47" s="95">
        <v>185847.99</v>
      </c>
      <c r="CZ47" s="97">
        <v>14549.609999999997</v>
      </c>
      <c r="DA47" s="95">
        <v>14549.609999999997</v>
      </c>
      <c r="DB47" s="95">
        <v>0</v>
      </c>
      <c r="DC47" s="95">
        <v>-74797.429999999644</v>
      </c>
      <c r="DD47" s="96">
        <v>-20520.38</v>
      </c>
      <c r="DF47" s="95">
        <v>1.7098500393331051E-10</v>
      </c>
      <c r="DI47" s="95">
        <v>185847.99000000017</v>
      </c>
      <c r="DJ47" s="95">
        <v>0</v>
      </c>
      <c r="DK47" s="96">
        <v>206368.37</v>
      </c>
      <c r="DL47" s="96">
        <v>-20520.38</v>
      </c>
      <c r="DQ47" s="88">
        <v>3302245</v>
      </c>
      <c r="DT47" s="95">
        <f t="shared" si="2"/>
        <v>1995145.76</v>
      </c>
      <c r="DU47" s="95">
        <f t="shared" si="3"/>
        <v>2120069.2899999996</v>
      </c>
      <c r="DV47" s="95">
        <f t="shared" si="4"/>
        <v>-124923.52999999956</v>
      </c>
      <c r="DW47" s="95">
        <f t="shared" si="5"/>
        <v>21076.36</v>
      </c>
      <c r="DX47" s="95">
        <f t="shared" si="6"/>
        <v>7500</v>
      </c>
      <c r="DY47" s="95">
        <f t="shared" si="9"/>
        <v>13576.36</v>
      </c>
      <c r="EA47" s="95">
        <f t="shared" si="10"/>
        <v>329261.07</v>
      </c>
      <c r="EB47" s="95">
        <f t="shared" si="11"/>
        <v>-124923.52999999956</v>
      </c>
      <c r="EC47" s="95">
        <f t="shared" si="12"/>
        <v>204337.54000000044</v>
      </c>
      <c r="ED47" s="95">
        <v>204337.54000000044</v>
      </c>
      <c r="EE47" s="95">
        <f t="shared" si="7"/>
        <v>0</v>
      </c>
      <c r="EF47" s="95"/>
      <c r="EG47" s="95">
        <f t="shared" si="13"/>
        <v>32065.37</v>
      </c>
      <c r="EH47" s="95">
        <f t="shared" si="16"/>
        <v>13576.36</v>
      </c>
      <c r="EI47" s="95">
        <f t="shared" si="14"/>
        <v>45641.729999999996</v>
      </c>
      <c r="EJ47" s="97">
        <v>45641.729999999996</v>
      </c>
      <c r="EK47" s="95">
        <f t="shared" si="15"/>
        <v>0</v>
      </c>
    </row>
    <row r="48" spans="1:141" s="87" customFormat="1" x14ac:dyDescent="0.35">
      <c r="A48" s="87" t="str">
        <f>_xlfn.XLOOKUP(C48,[1]Adjustment!B:B,[1]Adjustment!H:H,0,0)</f>
        <v>Agree</v>
      </c>
      <c r="B48" s="87">
        <v>2246</v>
      </c>
      <c r="C48" s="88">
        <v>3302246</v>
      </c>
      <c r="D48" s="98" t="s">
        <v>212</v>
      </c>
      <c r="E48" s="89" t="s">
        <v>213</v>
      </c>
      <c r="F48" s="101"/>
      <c r="G48" s="99"/>
      <c r="H48" s="88"/>
      <c r="I48" s="88"/>
      <c r="J48" s="88"/>
      <c r="K48" s="88"/>
      <c r="L48" s="88"/>
      <c r="M48" s="88"/>
      <c r="N48" s="88"/>
      <c r="O48" s="88"/>
      <c r="P48" s="88"/>
      <c r="Q48" s="88"/>
      <c r="R48" s="88"/>
      <c r="S48" s="92"/>
      <c r="T48" s="92"/>
      <c r="U48" s="92"/>
      <c r="V48" s="92"/>
      <c r="W48" s="92"/>
      <c r="X48" s="92"/>
      <c r="Y48" s="93">
        <v>407773.97</v>
      </c>
      <c r="Z48" s="93"/>
      <c r="AA48" s="93">
        <v>71024</v>
      </c>
      <c r="AB48" s="93">
        <v>2994796.58</v>
      </c>
      <c r="AC48" s="93">
        <v>0</v>
      </c>
      <c r="AD48" s="93">
        <v>534841.5</v>
      </c>
      <c r="AE48" s="93">
        <v>0</v>
      </c>
      <c r="AF48" s="93">
        <v>396525.5</v>
      </c>
      <c r="AG48" s="93">
        <v>856.93</v>
      </c>
      <c r="AH48" s="93">
        <v>0</v>
      </c>
      <c r="AI48" s="93">
        <v>0</v>
      </c>
      <c r="AJ48" s="93">
        <v>66950.5</v>
      </c>
      <c r="AK48" s="93">
        <v>0</v>
      </c>
      <c r="AL48" s="93">
        <v>0</v>
      </c>
      <c r="AM48" s="93">
        <v>0</v>
      </c>
      <c r="AN48" s="93">
        <v>14777.16</v>
      </c>
      <c r="AO48" s="93">
        <v>0</v>
      </c>
      <c r="AP48" s="93">
        <v>0</v>
      </c>
      <c r="AQ48" s="93">
        <v>0</v>
      </c>
      <c r="AR48" s="93">
        <v>0</v>
      </c>
      <c r="AS48" s="93">
        <v>0</v>
      </c>
      <c r="AT48" s="93">
        <v>0</v>
      </c>
      <c r="AU48" s="93">
        <v>32142.06</v>
      </c>
      <c r="AV48" s="93">
        <v>94503</v>
      </c>
      <c r="AW48" s="93">
        <v>1603410.4000000008</v>
      </c>
      <c r="AX48" s="93">
        <v>12622.06</v>
      </c>
      <c r="AY48" s="93">
        <v>528524.16</v>
      </c>
      <c r="AZ48" s="93">
        <v>103000.64</v>
      </c>
      <c r="BA48" s="93">
        <v>384563.25</v>
      </c>
      <c r="BB48" s="93">
        <v>0</v>
      </c>
      <c r="BC48" s="93">
        <v>94586.7</v>
      </c>
      <c r="BD48" s="93">
        <v>67852.95</v>
      </c>
      <c r="BE48" s="93">
        <v>6573.65</v>
      </c>
      <c r="BF48" s="93">
        <v>0</v>
      </c>
      <c r="BG48" s="93">
        <v>0</v>
      </c>
      <c r="BH48" s="93">
        <v>52265.9</v>
      </c>
      <c r="BI48" s="93">
        <v>159.99</v>
      </c>
      <c r="BJ48" s="93">
        <v>11081.36</v>
      </c>
      <c r="BK48" s="93">
        <v>13735.27</v>
      </c>
      <c r="BL48" s="93">
        <v>99433.34</v>
      </c>
      <c r="BM48" s="93">
        <v>0</v>
      </c>
      <c r="BN48" s="93">
        <v>18871.27</v>
      </c>
      <c r="BO48" s="93">
        <v>79136.299999999566</v>
      </c>
      <c r="BP48" s="93">
        <v>33288.089999999997</v>
      </c>
      <c r="BQ48" s="93">
        <v>41313.1</v>
      </c>
      <c r="BR48" s="93">
        <v>100506.48</v>
      </c>
      <c r="BS48" s="93">
        <v>4895</v>
      </c>
      <c r="BT48" s="93">
        <v>8060.26</v>
      </c>
      <c r="BU48" s="93">
        <v>182734.07999999999</v>
      </c>
      <c r="BV48" s="93">
        <v>637822.93000000005</v>
      </c>
      <c r="BW48" s="93">
        <v>2250</v>
      </c>
      <c r="BX48" s="93">
        <v>136164.04999999999</v>
      </c>
      <c r="BY48" s="93">
        <v>0</v>
      </c>
      <c r="BZ48" s="93">
        <v>0</v>
      </c>
      <c r="CA48" s="93"/>
      <c r="CB48" s="93">
        <v>0</v>
      </c>
      <c r="CC48" s="93">
        <v>0</v>
      </c>
      <c r="CD48" s="93">
        <v>10930</v>
      </c>
      <c r="CE48" s="93">
        <v>0</v>
      </c>
      <c r="CF48" s="93">
        <v>0</v>
      </c>
      <c r="CG48" s="93">
        <v>0</v>
      </c>
      <c r="CH48" s="93">
        <v>0</v>
      </c>
      <c r="CI48" s="93">
        <v>39167.160000000003</v>
      </c>
      <c r="CJ48" s="93">
        <v>0</v>
      </c>
      <c r="CK48" s="93"/>
      <c r="CL48" s="93">
        <v>320315.96999999974</v>
      </c>
      <c r="CM48" s="93"/>
      <c r="CN48" s="93">
        <v>42786.84</v>
      </c>
      <c r="CO48" s="93">
        <v>0</v>
      </c>
      <c r="CP48" s="93">
        <v>0</v>
      </c>
      <c r="CQ48" s="93">
        <v>0</v>
      </c>
      <c r="CR48" s="100"/>
      <c r="CS48" s="95">
        <v>263728.43000000087</v>
      </c>
      <c r="CT48" s="95">
        <v>0</v>
      </c>
      <c r="CU48" s="96">
        <v>290054.81</v>
      </c>
      <c r="CV48" s="96">
        <v>-26326.38</v>
      </c>
      <c r="CW48" s="96">
        <v>-26326.379999999132</v>
      </c>
      <c r="CX48" s="95">
        <v>-26326.38</v>
      </c>
      <c r="CY48" s="95">
        <v>263728.43</v>
      </c>
      <c r="CZ48" s="97">
        <v>0</v>
      </c>
      <c r="DA48" s="95">
        <v>0</v>
      </c>
      <c r="DB48" s="95">
        <v>0</v>
      </c>
      <c r="DC48" s="95">
        <v>-3.0000000435393304E-2</v>
      </c>
      <c r="DD48" s="96">
        <v>-26326.38</v>
      </c>
      <c r="DF48" s="95">
        <v>8.694769348949194E-10</v>
      </c>
      <c r="DI48" s="95">
        <v>263728.43000000087</v>
      </c>
      <c r="DJ48" s="95">
        <v>0</v>
      </c>
      <c r="DK48" s="96">
        <v>290054.81</v>
      </c>
      <c r="DL48" s="96">
        <v>-26326.38</v>
      </c>
      <c r="DQ48" s="88">
        <v>3302246</v>
      </c>
      <c r="DT48" s="95">
        <f t="shared" si="2"/>
        <v>4135393.2300000004</v>
      </c>
      <c r="DU48" s="95">
        <f t="shared" si="3"/>
        <v>4222851.2300000004</v>
      </c>
      <c r="DV48" s="95">
        <f t="shared" si="4"/>
        <v>-87458</v>
      </c>
      <c r="DW48" s="95">
        <f t="shared" si="5"/>
        <v>10930</v>
      </c>
      <c r="DX48" s="95">
        <f t="shared" si="6"/>
        <v>39167.160000000003</v>
      </c>
      <c r="DY48" s="95">
        <f t="shared" si="9"/>
        <v>-28237.160000000003</v>
      </c>
      <c r="EA48" s="95">
        <f t="shared" si="10"/>
        <v>407773.97</v>
      </c>
      <c r="EB48" s="95">
        <f t="shared" si="11"/>
        <v>-87458</v>
      </c>
      <c r="EC48" s="95">
        <f t="shared" si="12"/>
        <v>320315.96999999997</v>
      </c>
      <c r="ED48" s="95">
        <v>320315.96999999997</v>
      </c>
      <c r="EE48" s="95">
        <f t="shared" si="7"/>
        <v>0</v>
      </c>
      <c r="EF48" s="95"/>
      <c r="EG48" s="95">
        <f t="shared" si="13"/>
        <v>71024</v>
      </c>
      <c r="EH48" s="95">
        <f t="shared" si="16"/>
        <v>-28237.160000000003</v>
      </c>
      <c r="EI48" s="95">
        <f t="shared" si="14"/>
        <v>42786.84</v>
      </c>
      <c r="EJ48" s="97">
        <v>42786.84</v>
      </c>
      <c r="EK48" s="95">
        <f t="shared" si="15"/>
        <v>0</v>
      </c>
    </row>
    <row r="49" spans="1:141" s="87" customFormat="1" x14ac:dyDescent="0.35">
      <c r="A49" s="87" t="str">
        <f>_xlfn.XLOOKUP(C49,[1]Adjustment!B:B,[1]Adjustment!H:H,0,0)</f>
        <v>Agree</v>
      </c>
      <c r="B49" s="87">
        <v>2251</v>
      </c>
      <c r="C49" s="88">
        <v>3302251</v>
      </c>
      <c r="D49" s="98" t="s">
        <v>214</v>
      </c>
      <c r="E49" s="89" t="s">
        <v>215</v>
      </c>
      <c r="F49" s="101"/>
      <c r="G49" s="99"/>
      <c r="H49" s="88"/>
      <c r="I49" s="88"/>
      <c r="J49" s="88"/>
      <c r="K49" s="88"/>
      <c r="L49" s="88"/>
      <c r="M49" s="88"/>
      <c r="N49" s="88"/>
      <c r="O49" s="88"/>
      <c r="P49" s="88"/>
      <c r="Q49" s="88"/>
      <c r="R49" s="88"/>
      <c r="S49" s="92"/>
      <c r="T49" s="92"/>
      <c r="U49" s="92"/>
      <c r="V49" s="92"/>
      <c r="W49" s="92"/>
      <c r="X49" s="92"/>
      <c r="Y49" s="93">
        <v>192021.34</v>
      </c>
      <c r="Z49" s="93"/>
      <c r="AA49" s="93">
        <v>31721</v>
      </c>
      <c r="AB49" s="93">
        <v>2050705.34</v>
      </c>
      <c r="AC49" s="93">
        <v>0</v>
      </c>
      <c r="AD49" s="93">
        <v>36907.5</v>
      </c>
      <c r="AE49" s="93">
        <v>0</v>
      </c>
      <c r="AF49" s="93">
        <v>115956</v>
      </c>
      <c r="AG49" s="93">
        <v>1713.86</v>
      </c>
      <c r="AH49" s="93">
        <v>0</v>
      </c>
      <c r="AI49" s="93">
        <v>0</v>
      </c>
      <c r="AJ49" s="93">
        <v>91877.320000001098</v>
      </c>
      <c r="AK49" s="93">
        <v>48141.96</v>
      </c>
      <c r="AL49" s="93">
        <v>0</v>
      </c>
      <c r="AM49" s="93">
        <v>0</v>
      </c>
      <c r="AN49" s="93">
        <v>153587.46</v>
      </c>
      <c r="AO49" s="93">
        <v>0</v>
      </c>
      <c r="AP49" s="93">
        <v>0</v>
      </c>
      <c r="AQ49" s="93">
        <v>0</v>
      </c>
      <c r="AR49" s="93">
        <v>0</v>
      </c>
      <c r="AS49" s="93">
        <v>0</v>
      </c>
      <c r="AT49" s="93">
        <v>0</v>
      </c>
      <c r="AU49" s="93">
        <v>7071.51</v>
      </c>
      <c r="AV49" s="93">
        <v>96339</v>
      </c>
      <c r="AW49" s="93">
        <v>1156385.6200000015</v>
      </c>
      <c r="AX49" s="93">
        <v>0</v>
      </c>
      <c r="AY49" s="93">
        <v>398929.77</v>
      </c>
      <c r="AZ49" s="93">
        <v>0</v>
      </c>
      <c r="BA49" s="93">
        <v>133146.44</v>
      </c>
      <c r="BB49" s="93">
        <v>77947.67</v>
      </c>
      <c r="BC49" s="93">
        <v>37416.07</v>
      </c>
      <c r="BD49" s="93">
        <v>0</v>
      </c>
      <c r="BE49" s="93">
        <v>3721.86</v>
      </c>
      <c r="BF49" s="93">
        <v>0</v>
      </c>
      <c r="BG49" s="93">
        <v>0</v>
      </c>
      <c r="BH49" s="93">
        <v>14841.18</v>
      </c>
      <c r="BI49" s="93">
        <v>0</v>
      </c>
      <c r="BJ49" s="93">
        <v>0</v>
      </c>
      <c r="BK49" s="93">
        <v>9762.98</v>
      </c>
      <c r="BL49" s="93">
        <v>88811.67</v>
      </c>
      <c r="BM49" s="93">
        <v>17301.580000000002</v>
      </c>
      <c r="BN49" s="93">
        <v>42326.75</v>
      </c>
      <c r="BO49" s="93">
        <v>119896.41</v>
      </c>
      <c r="BP49" s="93">
        <v>730</v>
      </c>
      <c r="BQ49" s="93">
        <v>0</v>
      </c>
      <c r="BR49" s="93">
        <v>34347.85</v>
      </c>
      <c r="BS49" s="93">
        <v>4895</v>
      </c>
      <c r="BT49" s="93">
        <v>0</v>
      </c>
      <c r="BU49" s="93">
        <v>70651.600000000006</v>
      </c>
      <c r="BV49" s="93">
        <v>48549.27</v>
      </c>
      <c r="BW49" s="93">
        <v>112983.67999999999</v>
      </c>
      <c r="BX49" s="93">
        <v>13013.53</v>
      </c>
      <c r="BY49" s="93">
        <v>156852.22</v>
      </c>
      <c r="BZ49" s="93">
        <v>0</v>
      </c>
      <c r="CA49" s="93"/>
      <c r="CB49" s="93">
        <v>0</v>
      </c>
      <c r="CC49" s="93">
        <v>0</v>
      </c>
      <c r="CD49" s="93">
        <v>8977</v>
      </c>
      <c r="CE49" s="93">
        <v>18962.809999999998</v>
      </c>
      <c r="CF49" s="93">
        <v>0</v>
      </c>
      <c r="CG49" s="93">
        <v>0</v>
      </c>
      <c r="CH49" s="93">
        <v>0</v>
      </c>
      <c r="CI49" s="93">
        <v>0</v>
      </c>
      <c r="CJ49" s="93">
        <v>0</v>
      </c>
      <c r="CK49" s="93"/>
      <c r="CL49" s="93">
        <v>251810.13999999873</v>
      </c>
      <c r="CM49" s="93"/>
      <c r="CN49" s="93">
        <v>59660.81</v>
      </c>
      <c r="CO49" s="93">
        <v>0</v>
      </c>
      <c r="CP49" s="93">
        <v>0</v>
      </c>
      <c r="CQ49" s="93">
        <v>0</v>
      </c>
      <c r="CR49" s="100"/>
      <c r="CS49" s="95">
        <v>251810.14000000028</v>
      </c>
      <c r="CT49" s="95">
        <v>59660.81</v>
      </c>
      <c r="CU49" s="96">
        <v>251810.14</v>
      </c>
      <c r="CV49" s="96">
        <v>59660.81</v>
      </c>
      <c r="CW49" s="96">
        <v>2.6193447411060333E-10</v>
      </c>
      <c r="CX49" s="95">
        <v>0</v>
      </c>
      <c r="CY49" s="95">
        <v>311470.95</v>
      </c>
      <c r="CZ49" s="97">
        <v>-30611.190000000002</v>
      </c>
      <c r="DA49" s="95">
        <v>-30611.190000000002</v>
      </c>
      <c r="DB49" s="95">
        <v>3.9999998902203515E-2</v>
      </c>
      <c r="DC49" s="95">
        <v>0</v>
      </c>
      <c r="DD49" s="96"/>
      <c r="DF49" s="95">
        <v>2.9103830456733704E-10</v>
      </c>
      <c r="DI49" s="95">
        <v>251810.14000000028</v>
      </c>
      <c r="DJ49" s="95">
        <v>59660.81</v>
      </c>
      <c r="DK49" s="96">
        <v>251810.14</v>
      </c>
      <c r="DL49" s="96">
        <v>59660.81</v>
      </c>
      <c r="DQ49" s="88">
        <v>3302251</v>
      </c>
      <c r="DT49" s="95">
        <f t="shared" si="2"/>
        <v>2602299.9500000007</v>
      </c>
      <c r="DU49" s="95">
        <f t="shared" si="3"/>
        <v>2542511.1500000018</v>
      </c>
      <c r="DV49" s="95">
        <f t="shared" si="4"/>
        <v>59788.799999998882</v>
      </c>
      <c r="DW49" s="95">
        <f t="shared" si="5"/>
        <v>27939.809999999998</v>
      </c>
      <c r="DX49" s="95">
        <f t="shared" si="6"/>
        <v>0</v>
      </c>
      <c r="DY49" s="95">
        <f t="shared" si="9"/>
        <v>27939.809999999998</v>
      </c>
      <c r="EA49" s="95">
        <f t="shared" si="10"/>
        <v>192021.34</v>
      </c>
      <c r="EB49" s="95">
        <f t="shared" si="11"/>
        <v>59788.799999998882</v>
      </c>
      <c r="EC49" s="95">
        <f t="shared" si="12"/>
        <v>251810.13999999888</v>
      </c>
      <c r="ED49" s="95">
        <v>251810.13999999888</v>
      </c>
      <c r="EE49" s="95">
        <f t="shared" si="7"/>
        <v>0</v>
      </c>
      <c r="EF49" s="95"/>
      <c r="EG49" s="95">
        <f t="shared" si="13"/>
        <v>31721</v>
      </c>
      <c r="EH49" s="95">
        <f t="shared" si="16"/>
        <v>27939.809999999998</v>
      </c>
      <c r="EI49" s="95">
        <f t="shared" si="14"/>
        <v>59660.81</v>
      </c>
      <c r="EJ49" s="97">
        <v>59660.81</v>
      </c>
      <c r="EK49" s="95">
        <f t="shared" si="15"/>
        <v>0</v>
      </c>
    </row>
    <row r="50" spans="1:141" s="102" customFormat="1" x14ac:dyDescent="0.35">
      <c r="A50" s="102" t="str">
        <f>_xlfn.XLOOKUP(C50,[1]Adjustment!B:B,[1]Adjustment!H:H,0,0)</f>
        <v>Agree</v>
      </c>
      <c r="B50" s="87">
        <v>2254</v>
      </c>
      <c r="C50" s="103">
        <v>3302254</v>
      </c>
      <c r="D50" s="104" t="s">
        <v>216</v>
      </c>
      <c r="E50" s="105" t="s">
        <v>217</v>
      </c>
      <c r="F50" s="106"/>
      <c r="G50" s="107"/>
      <c r="H50" s="103"/>
      <c r="I50" s="103"/>
      <c r="J50" s="103"/>
      <c r="K50" s="103"/>
      <c r="L50" s="103"/>
      <c r="M50" s="103"/>
      <c r="N50" s="103"/>
      <c r="O50" s="103"/>
      <c r="P50" s="103"/>
      <c r="Q50" s="103"/>
      <c r="R50" s="103"/>
      <c r="S50" s="108"/>
      <c r="T50" s="108"/>
      <c r="U50" s="108"/>
      <c r="V50" s="108"/>
      <c r="W50" s="108"/>
      <c r="X50" s="108"/>
      <c r="Y50" s="109"/>
      <c r="Z50" s="109">
        <v>-488212.78</v>
      </c>
      <c r="AA50" s="109">
        <v>-21230</v>
      </c>
      <c r="AB50" s="109">
        <v>3032210.22</v>
      </c>
      <c r="AC50" s="109">
        <v>0</v>
      </c>
      <c r="AD50" s="109">
        <v>246832.5</v>
      </c>
      <c r="AE50" s="109">
        <v>0</v>
      </c>
      <c r="AF50" s="109">
        <v>372480</v>
      </c>
      <c r="AG50" s="109">
        <v>6513.86</v>
      </c>
      <c r="AH50" s="109">
        <v>0</v>
      </c>
      <c r="AI50" s="109">
        <v>0</v>
      </c>
      <c r="AJ50" s="109">
        <v>123373.63000000003</v>
      </c>
      <c r="AK50" s="109">
        <v>0</v>
      </c>
      <c r="AL50" s="109">
        <v>0</v>
      </c>
      <c r="AM50" s="109">
        <v>0</v>
      </c>
      <c r="AN50" s="109">
        <v>0</v>
      </c>
      <c r="AO50" s="109">
        <v>0</v>
      </c>
      <c r="AP50" s="109">
        <v>0</v>
      </c>
      <c r="AQ50" s="109">
        <v>0</v>
      </c>
      <c r="AR50" s="109">
        <v>0</v>
      </c>
      <c r="AS50" s="109">
        <v>0</v>
      </c>
      <c r="AT50" s="109">
        <v>0</v>
      </c>
      <c r="AU50" s="109">
        <v>63087.18</v>
      </c>
      <c r="AV50" s="109">
        <v>81689</v>
      </c>
      <c r="AW50" s="109">
        <v>991243.72000000067</v>
      </c>
      <c r="AX50" s="109">
        <v>0</v>
      </c>
      <c r="AY50" s="109">
        <v>816438.22</v>
      </c>
      <c r="AZ50" s="109">
        <v>0</v>
      </c>
      <c r="BA50" s="109">
        <v>325890.28999999998</v>
      </c>
      <c r="BB50" s="109">
        <v>0</v>
      </c>
      <c r="BC50" s="109">
        <v>100963.12</v>
      </c>
      <c r="BD50" s="109">
        <v>577407.21</v>
      </c>
      <c r="BE50" s="109">
        <v>0</v>
      </c>
      <c r="BF50" s="109">
        <v>0</v>
      </c>
      <c r="BG50" s="109">
        <v>0</v>
      </c>
      <c r="BH50" s="109">
        <v>2642.82</v>
      </c>
      <c r="BI50" s="109">
        <v>0</v>
      </c>
      <c r="BJ50" s="109">
        <v>0</v>
      </c>
      <c r="BK50" s="109">
        <v>0</v>
      </c>
      <c r="BL50" s="109">
        <v>143203.43</v>
      </c>
      <c r="BM50" s="109">
        <v>1482.23</v>
      </c>
      <c r="BN50" s="109">
        <v>0</v>
      </c>
      <c r="BO50" s="109">
        <v>657705.68999999994</v>
      </c>
      <c r="BP50" s="109">
        <v>0</v>
      </c>
      <c r="BQ50" s="109">
        <v>0</v>
      </c>
      <c r="BR50" s="109">
        <v>54184.78</v>
      </c>
      <c r="BS50" s="109">
        <v>11968</v>
      </c>
      <c r="BT50" s="109">
        <v>7068</v>
      </c>
      <c r="BU50" s="109">
        <v>56044.79</v>
      </c>
      <c r="BV50" s="109">
        <v>312262.71999999997</v>
      </c>
      <c r="BW50" s="109">
        <v>0</v>
      </c>
      <c r="BX50" s="109">
        <v>33719.660000000003</v>
      </c>
      <c r="BY50" s="109">
        <v>200036.76</v>
      </c>
      <c r="BZ50" s="109">
        <v>0</v>
      </c>
      <c r="CA50" s="109">
        <v>10682.5</v>
      </c>
      <c r="CB50" s="109">
        <v>0</v>
      </c>
      <c r="CC50" s="109">
        <v>0</v>
      </c>
      <c r="CD50" s="109">
        <v>10547.5</v>
      </c>
      <c r="CE50" s="109">
        <v>0</v>
      </c>
      <c r="CF50" s="109">
        <v>10682.5</v>
      </c>
      <c r="CG50" s="109">
        <v>0</v>
      </c>
      <c r="CH50" s="109">
        <v>0</v>
      </c>
      <c r="CI50" s="109"/>
      <c r="CJ50" s="109">
        <v>0</v>
      </c>
      <c r="CK50" s="109"/>
      <c r="CL50" s="109">
        <v>-864970.33000000007</v>
      </c>
      <c r="CM50" s="109"/>
      <c r="CN50" s="93">
        <v>0</v>
      </c>
      <c r="CO50" s="109">
        <v>0</v>
      </c>
      <c r="CP50" s="109">
        <v>0</v>
      </c>
      <c r="CQ50" s="109">
        <v>0</v>
      </c>
      <c r="CR50" s="110"/>
      <c r="CS50" s="111">
        <v>-1444005.09</v>
      </c>
      <c r="CT50" s="111">
        <v>0</v>
      </c>
      <c r="CU50" s="112">
        <v>-1422775.09</v>
      </c>
      <c r="CV50" s="112">
        <v>-21230</v>
      </c>
      <c r="CW50" s="112">
        <v>-21230</v>
      </c>
      <c r="CX50" s="111">
        <v>-21230</v>
      </c>
      <c r="CY50" s="111">
        <v>-1444005.09</v>
      </c>
      <c r="CZ50" s="113">
        <v>0</v>
      </c>
      <c r="DA50" s="111">
        <v>0</v>
      </c>
      <c r="DB50" s="111">
        <v>0.2099999999627471</v>
      </c>
      <c r="DC50" s="111">
        <v>0</v>
      </c>
      <c r="DD50" s="112">
        <v>-21230</v>
      </c>
      <c r="DF50" s="111">
        <v>0</v>
      </c>
      <c r="DI50" s="111">
        <v>-1444005.09</v>
      </c>
      <c r="DJ50" s="111">
        <v>0</v>
      </c>
      <c r="DK50" s="112">
        <v>-1422775.09</v>
      </c>
      <c r="DL50" s="112">
        <v>-21230</v>
      </c>
      <c r="DQ50" s="103">
        <v>3302254</v>
      </c>
      <c r="DT50" s="111">
        <f t="shared" si="2"/>
        <v>3926186.39</v>
      </c>
      <c r="DU50" s="111">
        <f t="shared" si="3"/>
        <v>4302943.9400000004</v>
      </c>
      <c r="DV50" s="111">
        <f t="shared" si="4"/>
        <v>-376757.55000000028</v>
      </c>
      <c r="DW50" s="111">
        <f t="shared" si="5"/>
        <v>21230</v>
      </c>
      <c r="DX50" s="111">
        <f t="shared" si="6"/>
        <v>0</v>
      </c>
      <c r="DY50" s="111">
        <f t="shared" si="9"/>
        <v>21230</v>
      </c>
      <c r="EA50" s="111">
        <f t="shared" si="10"/>
        <v>-488212.78</v>
      </c>
      <c r="EB50" s="111">
        <f t="shared" si="11"/>
        <v>-376757.55000000028</v>
      </c>
      <c r="EC50" s="111">
        <f t="shared" si="12"/>
        <v>-864970.33000000031</v>
      </c>
      <c r="ED50" s="111">
        <v>-864970.32999999984</v>
      </c>
      <c r="EE50" s="111">
        <f t="shared" si="7"/>
        <v>0</v>
      </c>
      <c r="EF50" s="111"/>
      <c r="EG50" s="111">
        <f t="shared" si="13"/>
        <v>-21230</v>
      </c>
      <c r="EH50" s="111">
        <f t="shared" si="16"/>
        <v>21230</v>
      </c>
      <c r="EI50" s="111">
        <f t="shared" si="14"/>
        <v>0</v>
      </c>
      <c r="EJ50" s="113">
        <v>0</v>
      </c>
      <c r="EK50" s="111">
        <f t="shared" si="15"/>
        <v>0</v>
      </c>
    </row>
    <row r="51" spans="1:141" s="87" customFormat="1" x14ac:dyDescent="0.35">
      <c r="A51" s="87" t="str">
        <f>_xlfn.XLOOKUP(C51,[1]Adjustment!B:B,[1]Adjustment!H:H,0,0)</f>
        <v>Agree</v>
      </c>
      <c r="B51" s="87">
        <v>2289</v>
      </c>
      <c r="C51" s="88">
        <v>3302289</v>
      </c>
      <c r="D51" s="98" t="s">
        <v>218</v>
      </c>
      <c r="E51" s="89" t="s">
        <v>219</v>
      </c>
      <c r="F51" s="101"/>
      <c r="G51" s="99"/>
      <c r="H51" s="88"/>
      <c r="I51" s="88"/>
      <c r="J51" s="88"/>
      <c r="K51" s="88"/>
      <c r="L51" s="88"/>
      <c r="M51" s="88"/>
      <c r="N51" s="88"/>
      <c r="O51" s="88"/>
      <c r="P51" s="88"/>
      <c r="Q51" s="88"/>
      <c r="R51" s="88"/>
      <c r="S51" s="92"/>
      <c r="T51" s="92"/>
      <c r="U51" s="92"/>
      <c r="V51" s="92"/>
      <c r="W51" s="92"/>
      <c r="X51" s="92"/>
      <c r="Y51" s="93"/>
      <c r="Z51" s="93">
        <v>-62892.26</v>
      </c>
      <c r="AA51" s="93">
        <v>31306</v>
      </c>
      <c r="AB51" s="93">
        <v>2026572.54</v>
      </c>
      <c r="AC51" s="93">
        <v>0</v>
      </c>
      <c r="AD51" s="93">
        <v>112526.26</v>
      </c>
      <c r="AE51" s="93">
        <v>0</v>
      </c>
      <c r="AF51" s="93">
        <v>188345.5</v>
      </c>
      <c r="AG51" s="93">
        <v>400</v>
      </c>
      <c r="AH51" s="93">
        <v>0</v>
      </c>
      <c r="AI51" s="93">
        <v>0</v>
      </c>
      <c r="AJ51" s="93">
        <v>97635.199999999604</v>
      </c>
      <c r="AK51" s="93">
        <v>0</v>
      </c>
      <c r="AL51" s="93">
        <v>0</v>
      </c>
      <c r="AM51" s="93">
        <v>0</v>
      </c>
      <c r="AN51" s="93">
        <v>23603.72</v>
      </c>
      <c r="AO51" s="93">
        <v>0</v>
      </c>
      <c r="AP51" s="93">
        <v>0</v>
      </c>
      <c r="AQ51" s="93">
        <v>0</v>
      </c>
      <c r="AR51" s="93">
        <v>0</v>
      </c>
      <c r="AS51" s="93">
        <v>0</v>
      </c>
      <c r="AT51" s="93">
        <v>0</v>
      </c>
      <c r="AU51" s="93">
        <v>20156.810000000001</v>
      </c>
      <c r="AV51" s="93">
        <v>73719</v>
      </c>
      <c r="AW51" s="93">
        <v>1052169.7999999996</v>
      </c>
      <c r="AX51" s="93">
        <v>0</v>
      </c>
      <c r="AY51" s="93">
        <v>284961.62</v>
      </c>
      <c r="AZ51" s="93">
        <v>34346.559999999998</v>
      </c>
      <c r="BA51" s="93">
        <v>217709.56</v>
      </c>
      <c r="BB51" s="93">
        <v>2394.96</v>
      </c>
      <c r="BC51" s="93">
        <v>0</v>
      </c>
      <c r="BD51" s="93">
        <v>616.24</v>
      </c>
      <c r="BE51" s="93">
        <v>5074.96</v>
      </c>
      <c r="BF51" s="93">
        <v>0</v>
      </c>
      <c r="BG51" s="93">
        <v>0</v>
      </c>
      <c r="BH51" s="93">
        <v>13127.83</v>
      </c>
      <c r="BI51" s="93">
        <v>7092.81</v>
      </c>
      <c r="BJ51" s="93">
        <v>8185.72</v>
      </c>
      <c r="BK51" s="93">
        <v>11278.41</v>
      </c>
      <c r="BL51" s="93">
        <v>53881.97</v>
      </c>
      <c r="BM51" s="93">
        <v>0</v>
      </c>
      <c r="BN51" s="93">
        <v>7157.32</v>
      </c>
      <c r="BO51" s="93">
        <v>128839.98</v>
      </c>
      <c r="BP51" s="93">
        <v>9271.82</v>
      </c>
      <c r="BQ51" s="93">
        <v>198.75</v>
      </c>
      <c r="BR51" s="93">
        <v>68268.52</v>
      </c>
      <c r="BS51" s="93">
        <v>9020</v>
      </c>
      <c r="BT51" s="93">
        <v>51.35</v>
      </c>
      <c r="BU51" s="93">
        <v>83418.67</v>
      </c>
      <c r="BV51" s="93">
        <v>288667.88</v>
      </c>
      <c r="BW51" s="93">
        <v>380</v>
      </c>
      <c r="BX51" s="93">
        <v>155299.85999999999</v>
      </c>
      <c r="BY51" s="93">
        <v>0</v>
      </c>
      <c r="BZ51" s="93">
        <v>0</v>
      </c>
      <c r="CA51" s="93"/>
      <c r="CB51" s="93">
        <v>0</v>
      </c>
      <c r="CC51" s="93">
        <v>0</v>
      </c>
      <c r="CD51" s="93">
        <v>8455</v>
      </c>
      <c r="CE51" s="93">
        <v>0</v>
      </c>
      <c r="CF51" s="93">
        <v>0</v>
      </c>
      <c r="CG51" s="93">
        <v>0</v>
      </c>
      <c r="CH51" s="93">
        <v>0</v>
      </c>
      <c r="CI51" s="93">
        <v>21956.67</v>
      </c>
      <c r="CJ51" s="93"/>
      <c r="CK51" s="93"/>
      <c r="CL51" s="93">
        <v>38652.180000000633</v>
      </c>
      <c r="CM51" s="93"/>
      <c r="CN51" s="93">
        <v>17804.330000000002</v>
      </c>
      <c r="CO51" s="93">
        <v>0</v>
      </c>
      <c r="CP51" s="93">
        <v>0</v>
      </c>
      <c r="CQ51" s="93">
        <v>0</v>
      </c>
      <c r="CR51" s="100"/>
      <c r="CS51" s="95">
        <v>10254.979999999756</v>
      </c>
      <c r="CT51" s="95">
        <v>0</v>
      </c>
      <c r="CU51" s="96">
        <v>38652.18</v>
      </c>
      <c r="CV51" s="96">
        <v>-28397.200000000001</v>
      </c>
      <c r="CW51" s="96">
        <v>-28397.200000000244</v>
      </c>
      <c r="CX51" s="95">
        <v>-28397.200000000001</v>
      </c>
      <c r="CY51" s="95">
        <v>10254.98</v>
      </c>
      <c r="CZ51" s="97">
        <v>0</v>
      </c>
      <c r="DA51" s="95">
        <v>0</v>
      </c>
      <c r="DB51" s="95">
        <v>41396.730000000382</v>
      </c>
      <c r="DC51" s="95">
        <v>0</v>
      </c>
      <c r="DD51" s="96">
        <v>-28397.200000000001</v>
      </c>
      <c r="DF51" s="95">
        <v>-2.4374458007514477E-10</v>
      </c>
      <c r="DI51" s="95">
        <v>10254.979999999756</v>
      </c>
      <c r="DJ51" s="95">
        <v>0</v>
      </c>
      <c r="DK51" s="96">
        <v>38652.18</v>
      </c>
      <c r="DL51" s="96">
        <v>-28397.200000000001</v>
      </c>
      <c r="DQ51" s="88">
        <v>3302289</v>
      </c>
      <c r="DT51" s="95">
        <f t="shared" si="2"/>
        <v>2542959.0299999998</v>
      </c>
      <c r="DU51" s="95">
        <f t="shared" si="3"/>
        <v>2441414.5899999994</v>
      </c>
      <c r="DV51" s="95">
        <f t="shared" si="4"/>
        <v>101544.44000000041</v>
      </c>
      <c r="DW51" s="95">
        <f t="shared" si="5"/>
        <v>8455</v>
      </c>
      <c r="DX51" s="95">
        <f t="shared" si="6"/>
        <v>21956.67</v>
      </c>
      <c r="DY51" s="95">
        <f t="shared" si="9"/>
        <v>-13501.669999999998</v>
      </c>
      <c r="EA51" s="95">
        <f t="shared" si="10"/>
        <v>-62892.26</v>
      </c>
      <c r="EB51" s="95">
        <f t="shared" si="11"/>
        <v>101544.44000000041</v>
      </c>
      <c r="EC51" s="95">
        <f t="shared" si="12"/>
        <v>38652.180000000408</v>
      </c>
      <c r="ED51" s="95">
        <v>38652.180000000408</v>
      </c>
      <c r="EE51" s="95">
        <f t="shared" si="7"/>
        <v>0</v>
      </c>
      <c r="EF51" s="95"/>
      <c r="EG51" s="95">
        <f t="shared" si="13"/>
        <v>31306</v>
      </c>
      <c r="EH51" s="95">
        <f t="shared" si="16"/>
        <v>-13501.669999999998</v>
      </c>
      <c r="EI51" s="95">
        <f t="shared" si="14"/>
        <v>17804.330000000002</v>
      </c>
      <c r="EJ51" s="97">
        <v>17804.330000000002</v>
      </c>
      <c r="EK51" s="95">
        <f t="shared" si="15"/>
        <v>0</v>
      </c>
    </row>
    <row r="52" spans="1:141" s="87" customFormat="1" x14ac:dyDescent="0.35">
      <c r="A52" s="87" t="str">
        <f>_xlfn.XLOOKUP(C52,[1]Adjustment!B:B,[1]Adjustment!H:H,0,0)</f>
        <v>Agree</v>
      </c>
      <c r="B52" s="87">
        <v>2294</v>
      </c>
      <c r="C52" s="88">
        <v>3302294</v>
      </c>
      <c r="D52" s="98" t="s">
        <v>220</v>
      </c>
      <c r="E52" s="89" t="s">
        <v>221</v>
      </c>
      <c r="F52" s="101"/>
      <c r="G52" s="99"/>
      <c r="H52" s="88"/>
      <c r="I52" s="88"/>
      <c r="J52" s="88"/>
      <c r="K52" s="88"/>
      <c r="L52" s="88"/>
      <c r="M52" s="88"/>
      <c r="N52" s="88"/>
      <c r="O52" s="88"/>
      <c r="P52" s="88"/>
      <c r="Q52" s="88"/>
      <c r="R52" s="88"/>
      <c r="S52" s="92"/>
      <c r="T52" s="92"/>
      <c r="U52" s="92"/>
      <c r="V52" s="92"/>
      <c r="W52" s="92"/>
      <c r="X52" s="92"/>
      <c r="Y52" s="93">
        <v>654696.86</v>
      </c>
      <c r="Z52" s="93"/>
      <c r="AA52" s="93">
        <v>20835</v>
      </c>
      <c r="AB52" s="93">
        <v>2227550.35</v>
      </c>
      <c r="AC52" s="93">
        <v>0</v>
      </c>
      <c r="AD52" s="93">
        <v>122140.42</v>
      </c>
      <c r="AE52" s="93">
        <v>0</v>
      </c>
      <c r="AF52" s="93">
        <v>264811</v>
      </c>
      <c r="AG52" s="93">
        <v>9770.7900000000009</v>
      </c>
      <c r="AH52" s="93">
        <v>0</v>
      </c>
      <c r="AI52" s="93">
        <v>0</v>
      </c>
      <c r="AJ52" s="93">
        <v>39002.32</v>
      </c>
      <c r="AK52" s="93">
        <v>0</v>
      </c>
      <c r="AL52" s="93">
        <v>0</v>
      </c>
      <c r="AM52" s="93">
        <v>0</v>
      </c>
      <c r="AN52" s="93">
        <v>0</v>
      </c>
      <c r="AO52" s="93">
        <v>0</v>
      </c>
      <c r="AP52" s="93">
        <v>0</v>
      </c>
      <c r="AQ52" s="93">
        <v>0</v>
      </c>
      <c r="AR52" s="93">
        <v>0</v>
      </c>
      <c r="AS52" s="93">
        <v>0</v>
      </c>
      <c r="AT52" s="93">
        <v>0</v>
      </c>
      <c r="AU52" s="93">
        <v>20548.78</v>
      </c>
      <c r="AV52" s="93">
        <v>65874</v>
      </c>
      <c r="AW52" s="93">
        <v>982771.01</v>
      </c>
      <c r="AX52" s="93">
        <v>0</v>
      </c>
      <c r="AY52" s="93">
        <v>421825.54</v>
      </c>
      <c r="AZ52" s="93">
        <v>63302.41</v>
      </c>
      <c r="BA52" s="93">
        <v>135823.31</v>
      </c>
      <c r="BB52" s="93">
        <v>0</v>
      </c>
      <c r="BC52" s="93">
        <v>73421.149999999994</v>
      </c>
      <c r="BD52" s="93">
        <v>4658.53</v>
      </c>
      <c r="BE52" s="93">
        <v>8086.17</v>
      </c>
      <c r="BF52" s="93">
        <v>0</v>
      </c>
      <c r="BG52" s="93">
        <v>0</v>
      </c>
      <c r="BH52" s="93">
        <v>78407.199999999997</v>
      </c>
      <c r="BI52" s="93">
        <v>547.23</v>
      </c>
      <c r="BJ52" s="93">
        <v>19569.55</v>
      </c>
      <c r="BK52" s="93">
        <v>2551</v>
      </c>
      <c r="BL52" s="93">
        <v>73440.39</v>
      </c>
      <c r="BM52" s="93">
        <v>0</v>
      </c>
      <c r="BN52" s="93">
        <v>16979.23</v>
      </c>
      <c r="BO52" s="93">
        <v>58105.779999999788</v>
      </c>
      <c r="BP52" s="93">
        <v>125.98</v>
      </c>
      <c r="BQ52" s="93">
        <v>9737</v>
      </c>
      <c r="BR52" s="93">
        <v>153995.26</v>
      </c>
      <c r="BS52" s="93">
        <v>10566.86</v>
      </c>
      <c r="BT52" s="93">
        <v>2192</v>
      </c>
      <c r="BU52" s="93">
        <v>137249.45000000001</v>
      </c>
      <c r="BV52" s="93">
        <v>141571.41</v>
      </c>
      <c r="BW52" s="93">
        <v>126213.5</v>
      </c>
      <c r="BX52" s="93">
        <v>343868.19</v>
      </c>
      <c r="BY52" s="93">
        <v>0</v>
      </c>
      <c r="BZ52" s="93">
        <v>0</v>
      </c>
      <c r="CA52" s="93"/>
      <c r="CB52" s="93">
        <v>0</v>
      </c>
      <c r="CC52" s="93">
        <v>0</v>
      </c>
      <c r="CD52" s="93">
        <v>8691.25</v>
      </c>
      <c r="CE52" s="93">
        <v>18144</v>
      </c>
      <c r="CF52" s="93">
        <v>0</v>
      </c>
      <c r="CG52" s="93">
        <v>0</v>
      </c>
      <c r="CH52" s="93">
        <v>0</v>
      </c>
      <c r="CI52" s="93">
        <v>24994</v>
      </c>
      <c r="CJ52" s="93">
        <v>17848</v>
      </c>
      <c r="CK52" s="93"/>
      <c r="CL52" s="93">
        <v>539386.37000000011</v>
      </c>
      <c r="CM52" s="93"/>
      <c r="CN52" s="93">
        <v>4828.25</v>
      </c>
      <c r="CO52" s="93">
        <v>0</v>
      </c>
      <c r="CP52" s="93">
        <v>0</v>
      </c>
      <c r="CQ52" s="93">
        <v>0</v>
      </c>
      <c r="CR52" s="100"/>
      <c r="CS52" s="95">
        <v>476210.42000000004</v>
      </c>
      <c r="CT52" s="95">
        <v>0</v>
      </c>
      <c r="CU52" s="96">
        <v>509886.66</v>
      </c>
      <c r="CV52" s="96">
        <v>-33676.239999999998</v>
      </c>
      <c r="CW52" s="96">
        <v>-33676.239999999932</v>
      </c>
      <c r="CX52" s="95">
        <v>-33676.239999999998</v>
      </c>
      <c r="CY52" s="95">
        <v>476210.42</v>
      </c>
      <c r="CZ52" s="97">
        <v>0</v>
      </c>
      <c r="DA52" s="95">
        <v>0</v>
      </c>
      <c r="DB52" s="95">
        <v>0</v>
      </c>
      <c r="DC52" s="95">
        <v>-4.0000000211875886E-2</v>
      </c>
      <c r="DD52" s="96">
        <v>-33676.239999999998</v>
      </c>
      <c r="DF52" s="95">
        <v>6.5483618527650833E-11</v>
      </c>
      <c r="DI52" s="95">
        <v>476210.42000000004</v>
      </c>
      <c r="DJ52" s="95">
        <v>0</v>
      </c>
      <c r="DK52" s="96">
        <v>509886.66</v>
      </c>
      <c r="DL52" s="96">
        <v>-33676.239999999998</v>
      </c>
      <c r="DQ52" s="88">
        <v>3302294</v>
      </c>
      <c r="DT52" s="95">
        <f t="shared" si="2"/>
        <v>2749697.6599999997</v>
      </c>
      <c r="DU52" s="95">
        <f t="shared" si="3"/>
        <v>2865008.1499999994</v>
      </c>
      <c r="DV52" s="95">
        <f t="shared" si="4"/>
        <v>-115310.48999999976</v>
      </c>
      <c r="DW52" s="95">
        <f t="shared" si="5"/>
        <v>26835.25</v>
      </c>
      <c r="DX52" s="95">
        <f t="shared" si="6"/>
        <v>42842</v>
      </c>
      <c r="DY52" s="95">
        <f t="shared" si="9"/>
        <v>-16006.75</v>
      </c>
      <c r="EA52" s="95">
        <f t="shared" si="10"/>
        <v>654696.86</v>
      </c>
      <c r="EB52" s="95">
        <f t="shared" si="11"/>
        <v>-115310.48999999976</v>
      </c>
      <c r="EC52" s="95">
        <f t="shared" si="12"/>
        <v>539386.37000000023</v>
      </c>
      <c r="ED52" s="95">
        <v>539386.36999999976</v>
      </c>
      <c r="EE52" s="95">
        <f t="shared" si="7"/>
        <v>0</v>
      </c>
      <c r="EF52" s="95"/>
      <c r="EG52" s="95">
        <f t="shared" si="13"/>
        <v>20835</v>
      </c>
      <c r="EH52" s="95">
        <f t="shared" si="16"/>
        <v>-16006.75</v>
      </c>
      <c r="EI52" s="95">
        <f t="shared" si="14"/>
        <v>4828.25</v>
      </c>
      <c r="EJ52" s="97">
        <v>4828</v>
      </c>
      <c r="EK52" s="95">
        <f t="shared" si="15"/>
        <v>-0.25</v>
      </c>
    </row>
    <row r="53" spans="1:141" s="87" customFormat="1" x14ac:dyDescent="0.35">
      <c r="A53" s="87" t="str">
        <f>_xlfn.XLOOKUP(C53,[1]Adjustment!B:B,[1]Adjustment!H:H,0,0)</f>
        <v>Agree</v>
      </c>
      <c r="B53" s="87">
        <v>2296</v>
      </c>
      <c r="C53" s="88">
        <v>3302296</v>
      </c>
      <c r="D53" s="98" t="s">
        <v>222</v>
      </c>
      <c r="E53" s="89" t="s">
        <v>223</v>
      </c>
      <c r="F53" s="101"/>
      <c r="G53" s="99"/>
      <c r="H53" s="88"/>
      <c r="I53" s="88"/>
      <c r="J53" s="88"/>
      <c r="K53" s="88"/>
      <c r="L53" s="88"/>
      <c r="M53" s="88"/>
      <c r="N53" s="88"/>
      <c r="O53" s="88"/>
      <c r="P53" s="88"/>
      <c r="Q53" s="88"/>
      <c r="R53" s="88"/>
      <c r="S53" s="92"/>
      <c r="T53" s="92"/>
      <c r="U53" s="92"/>
      <c r="V53" s="92"/>
      <c r="W53" s="92"/>
      <c r="X53" s="92"/>
      <c r="Y53" s="93">
        <v>253331.79</v>
      </c>
      <c r="Z53" s="93"/>
      <c r="AA53" s="93">
        <v>10659.11</v>
      </c>
      <c r="AB53" s="93">
        <v>1498439.59</v>
      </c>
      <c r="AC53" s="93">
        <v>0</v>
      </c>
      <c r="AD53" s="93">
        <v>30135</v>
      </c>
      <c r="AE53" s="93">
        <v>0</v>
      </c>
      <c r="AF53" s="93">
        <v>178900</v>
      </c>
      <c r="AG53" s="93">
        <v>3456.93</v>
      </c>
      <c r="AH53" s="93">
        <v>0</v>
      </c>
      <c r="AI53" s="93">
        <v>0</v>
      </c>
      <c r="AJ53" s="93">
        <v>116254.39</v>
      </c>
      <c r="AK53" s="93">
        <v>0</v>
      </c>
      <c r="AL53" s="93">
        <v>0</v>
      </c>
      <c r="AM53" s="93">
        <v>0</v>
      </c>
      <c r="AN53" s="93">
        <v>18997.57</v>
      </c>
      <c r="AO53" s="93">
        <v>0</v>
      </c>
      <c r="AP53" s="93">
        <v>0</v>
      </c>
      <c r="AQ53" s="93">
        <v>0</v>
      </c>
      <c r="AR53" s="93">
        <v>0</v>
      </c>
      <c r="AS53" s="93">
        <v>0</v>
      </c>
      <c r="AT53" s="93">
        <v>0</v>
      </c>
      <c r="AU53" s="93">
        <v>30151.88</v>
      </c>
      <c r="AV53" s="93">
        <v>54059</v>
      </c>
      <c r="AW53" s="93">
        <v>982647.31000000029</v>
      </c>
      <c r="AX53" s="93">
        <v>0</v>
      </c>
      <c r="AY53" s="93">
        <v>131236.12</v>
      </c>
      <c r="AZ53" s="93">
        <v>76912.06</v>
      </c>
      <c r="BA53" s="93">
        <v>131750.6</v>
      </c>
      <c r="BB53" s="93">
        <v>6215.83</v>
      </c>
      <c r="BC53" s="93">
        <v>67761.53</v>
      </c>
      <c r="BD53" s="93">
        <v>1421.17</v>
      </c>
      <c r="BE53" s="93">
        <v>5735.5</v>
      </c>
      <c r="BF53" s="93">
        <v>0</v>
      </c>
      <c r="BG53" s="93">
        <v>0</v>
      </c>
      <c r="BH53" s="93">
        <v>51470.32</v>
      </c>
      <c r="BI53" s="93">
        <v>5208.32</v>
      </c>
      <c r="BJ53" s="93">
        <v>2233.13</v>
      </c>
      <c r="BK53" s="93">
        <v>8736.18</v>
      </c>
      <c r="BL53" s="93">
        <v>42686.42</v>
      </c>
      <c r="BM53" s="93">
        <v>30359.040000000001</v>
      </c>
      <c r="BN53" s="93">
        <v>7072.61</v>
      </c>
      <c r="BO53" s="93">
        <v>63982.62999999967</v>
      </c>
      <c r="BP53" s="93">
        <v>14698.19</v>
      </c>
      <c r="BQ53" s="93">
        <v>0</v>
      </c>
      <c r="BR53" s="93">
        <v>4820.07</v>
      </c>
      <c r="BS53" s="93">
        <v>4895</v>
      </c>
      <c r="BT53" s="93">
        <v>7732</v>
      </c>
      <c r="BU53" s="93">
        <v>69162.509999999995</v>
      </c>
      <c r="BV53" s="93">
        <v>112923.67</v>
      </c>
      <c r="BW53" s="93">
        <v>13751.87</v>
      </c>
      <c r="BX53" s="93">
        <v>101491.64</v>
      </c>
      <c r="BY53" s="93">
        <v>0</v>
      </c>
      <c r="BZ53" s="93">
        <v>0</v>
      </c>
      <c r="CA53" s="93"/>
      <c r="CB53" s="93">
        <v>0</v>
      </c>
      <c r="CC53" s="93">
        <v>0</v>
      </c>
      <c r="CD53" s="93">
        <v>7555</v>
      </c>
      <c r="CE53" s="93">
        <v>0</v>
      </c>
      <c r="CF53" s="93">
        <v>0</v>
      </c>
      <c r="CG53" s="93">
        <v>0</v>
      </c>
      <c r="CH53" s="93">
        <v>0</v>
      </c>
      <c r="CI53" s="93">
        <v>0</v>
      </c>
      <c r="CJ53" s="93">
        <v>0</v>
      </c>
      <c r="CK53" s="93"/>
      <c r="CL53" s="93">
        <v>238822.42999999993</v>
      </c>
      <c r="CM53" s="93"/>
      <c r="CN53" s="93">
        <v>18214.11</v>
      </c>
      <c r="CO53" s="93">
        <v>0</v>
      </c>
      <c r="CP53" s="93">
        <v>0</v>
      </c>
      <c r="CQ53" s="93">
        <v>0</v>
      </c>
      <c r="CR53" s="100"/>
      <c r="CS53" s="95">
        <v>238822.42999999991</v>
      </c>
      <c r="CT53" s="95">
        <v>18214.11</v>
      </c>
      <c r="CU53" s="96">
        <v>238822.43</v>
      </c>
      <c r="CV53" s="96">
        <v>18214.11</v>
      </c>
      <c r="CW53" s="96">
        <v>0</v>
      </c>
      <c r="CX53" s="95">
        <v>0</v>
      </c>
      <c r="CY53" s="95">
        <v>257036.53999999998</v>
      </c>
      <c r="CZ53" s="97">
        <v>0</v>
      </c>
      <c r="DA53" s="95">
        <v>0</v>
      </c>
      <c r="DB53" s="95">
        <v>0</v>
      </c>
      <c r="DC53" s="95">
        <v>-1.0000000329455361E-2</v>
      </c>
      <c r="DD53" s="96"/>
      <c r="DF53" s="95">
        <v>-7.2759576141834259E-11</v>
      </c>
      <c r="DI53" s="95">
        <v>238822.42999999991</v>
      </c>
      <c r="DJ53" s="95">
        <v>18214.11</v>
      </c>
      <c r="DK53" s="96">
        <v>238822.43</v>
      </c>
      <c r="DL53" s="96">
        <v>18214.11</v>
      </c>
      <c r="DQ53" s="88">
        <v>3302296</v>
      </c>
      <c r="DT53" s="95">
        <f t="shared" si="2"/>
        <v>1930394.3599999999</v>
      </c>
      <c r="DU53" s="95">
        <f t="shared" si="3"/>
        <v>1944903.72</v>
      </c>
      <c r="DV53" s="95">
        <f t="shared" si="4"/>
        <v>-14509.360000000102</v>
      </c>
      <c r="DW53" s="95">
        <f t="shared" si="5"/>
        <v>7555</v>
      </c>
      <c r="DX53" s="95">
        <f t="shared" si="6"/>
        <v>0</v>
      </c>
      <c r="DY53" s="95">
        <f t="shared" si="9"/>
        <v>7555</v>
      </c>
      <c r="EA53" s="95">
        <f t="shared" si="10"/>
        <v>253331.79</v>
      </c>
      <c r="EB53" s="95">
        <f t="shared" si="11"/>
        <v>-14509.360000000102</v>
      </c>
      <c r="EC53" s="95">
        <f t="shared" si="12"/>
        <v>238822.42999999991</v>
      </c>
      <c r="ED53" s="95">
        <v>238822.42999999967</v>
      </c>
      <c r="EE53" s="95">
        <f t="shared" si="7"/>
        <v>2.3283064365386963E-10</v>
      </c>
      <c r="EF53" s="95"/>
      <c r="EG53" s="95">
        <f t="shared" si="13"/>
        <v>10659.11</v>
      </c>
      <c r="EH53" s="95">
        <f t="shared" si="16"/>
        <v>7555</v>
      </c>
      <c r="EI53" s="95">
        <f t="shared" si="14"/>
        <v>18214.11</v>
      </c>
      <c r="EJ53" s="97">
        <v>18214.11</v>
      </c>
      <c r="EK53" s="95">
        <f t="shared" si="15"/>
        <v>0</v>
      </c>
    </row>
    <row r="54" spans="1:141" s="87" customFormat="1" x14ac:dyDescent="0.35">
      <c r="A54" s="87" t="str">
        <f>_xlfn.XLOOKUP(C54,[1]Adjustment!B:B,[1]Adjustment!H:H,0,0)</f>
        <v>Agree</v>
      </c>
      <c r="B54" s="87">
        <v>2300</v>
      </c>
      <c r="C54" s="88">
        <v>3302300</v>
      </c>
      <c r="D54" s="98" t="s">
        <v>224</v>
      </c>
      <c r="E54" s="89" t="s">
        <v>225</v>
      </c>
      <c r="F54" s="101"/>
      <c r="G54" s="99"/>
      <c r="H54" s="88"/>
      <c r="I54" s="88"/>
      <c r="J54" s="88"/>
      <c r="K54" s="88"/>
      <c r="L54" s="88"/>
      <c r="M54" s="88"/>
      <c r="N54" s="88"/>
      <c r="O54" s="88"/>
      <c r="P54" s="88"/>
      <c r="Q54" s="88"/>
      <c r="R54" s="88"/>
      <c r="S54" s="92"/>
      <c r="T54" s="92"/>
      <c r="U54" s="92"/>
      <c r="V54" s="92"/>
      <c r="W54" s="92"/>
      <c r="X54" s="92"/>
      <c r="Y54" s="93">
        <v>230362.38</v>
      </c>
      <c r="Z54" s="93"/>
      <c r="AA54" s="93">
        <v>4.05</v>
      </c>
      <c r="AB54" s="93">
        <v>3577583.23</v>
      </c>
      <c r="AC54" s="93">
        <v>0</v>
      </c>
      <c r="AD54" s="93">
        <v>205995.42</v>
      </c>
      <c r="AE54" s="93">
        <v>0</v>
      </c>
      <c r="AF54" s="93">
        <v>389940</v>
      </c>
      <c r="AG54" s="93">
        <v>1200</v>
      </c>
      <c r="AH54" s="93">
        <v>0</v>
      </c>
      <c r="AI54" s="93">
        <v>0</v>
      </c>
      <c r="AJ54" s="93">
        <v>112421.46</v>
      </c>
      <c r="AK54" s="93">
        <v>44046.53</v>
      </c>
      <c r="AL54" s="93">
        <v>0</v>
      </c>
      <c r="AM54" s="93">
        <v>0</v>
      </c>
      <c r="AN54" s="93">
        <v>20964.45</v>
      </c>
      <c r="AO54" s="93">
        <v>0</v>
      </c>
      <c r="AP54" s="93">
        <v>0</v>
      </c>
      <c r="AQ54" s="93">
        <v>0</v>
      </c>
      <c r="AR54" s="93">
        <v>0</v>
      </c>
      <c r="AS54" s="93">
        <v>0</v>
      </c>
      <c r="AT54" s="93">
        <v>0</v>
      </c>
      <c r="AU54" s="93">
        <v>25740.26</v>
      </c>
      <c r="AV54" s="93">
        <v>93895</v>
      </c>
      <c r="AW54" s="93">
        <v>1946878</v>
      </c>
      <c r="AX54" s="93">
        <v>0</v>
      </c>
      <c r="AY54" s="93">
        <v>949245.36</v>
      </c>
      <c r="AZ54" s="93">
        <v>0</v>
      </c>
      <c r="BA54" s="93">
        <v>221468.04</v>
      </c>
      <c r="BB54" s="93">
        <v>144902.15</v>
      </c>
      <c r="BC54" s="93">
        <v>166990.76999999999</v>
      </c>
      <c r="BD54" s="93">
        <v>0</v>
      </c>
      <c r="BE54" s="93">
        <v>0</v>
      </c>
      <c r="BF54" s="93">
        <v>0</v>
      </c>
      <c r="BG54" s="93">
        <v>0</v>
      </c>
      <c r="BH54" s="93">
        <v>8838.7099999999991</v>
      </c>
      <c r="BI54" s="93">
        <v>0</v>
      </c>
      <c r="BJ54" s="93">
        <v>0</v>
      </c>
      <c r="BK54" s="93">
        <v>22315.98</v>
      </c>
      <c r="BL54" s="93">
        <v>128840.57</v>
      </c>
      <c r="BM54" s="93">
        <v>73646.83</v>
      </c>
      <c r="BN54" s="93">
        <v>4645.3500000000004</v>
      </c>
      <c r="BO54" s="93">
        <v>96800.290000000183</v>
      </c>
      <c r="BP54" s="93">
        <v>7927</v>
      </c>
      <c r="BQ54" s="93">
        <v>0</v>
      </c>
      <c r="BR54" s="93">
        <v>141802.23000000001</v>
      </c>
      <c r="BS54" s="93">
        <v>4895</v>
      </c>
      <c r="BT54" s="93">
        <v>9555</v>
      </c>
      <c r="BU54" s="93">
        <v>127241.85</v>
      </c>
      <c r="BV54" s="93">
        <v>161356.48000000001</v>
      </c>
      <c r="BW54" s="93">
        <v>0</v>
      </c>
      <c r="BX54" s="93">
        <v>351930.02</v>
      </c>
      <c r="BY54" s="93">
        <v>0</v>
      </c>
      <c r="BZ54" s="93">
        <v>0</v>
      </c>
      <c r="CA54" s="93"/>
      <c r="CB54" s="93">
        <v>0</v>
      </c>
      <c r="CC54" s="93">
        <v>0</v>
      </c>
      <c r="CD54" s="93">
        <v>11561.13</v>
      </c>
      <c r="CE54" s="93">
        <v>23430.17</v>
      </c>
      <c r="CF54" s="93">
        <v>0</v>
      </c>
      <c r="CG54" s="93">
        <v>0</v>
      </c>
      <c r="CH54" s="93">
        <v>0</v>
      </c>
      <c r="CI54" s="93">
        <v>0</v>
      </c>
      <c r="CJ54" s="93">
        <v>0</v>
      </c>
      <c r="CK54" s="93"/>
      <c r="CL54" s="93">
        <v>132869.09999999963</v>
      </c>
      <c r="CM54" s="93"/>
      <c r="CN54" s="93">
        <v>34995.35</v>
      </c>
      <c r="CO54" s="93">
        <v>0</v>
      </c>
      <c r="CP54" s="93">
        <v>0</v>
      </c>
      <c r="CQ54" s="93">
        <v>0</v>
      </c>
      <c r="CR54" s="100"/>
      <c r="CS54" s="95">
        <v>132869.09999999974</v>
      </c>
      <c r="CT54" s="95">
        <v>34995.35</v>
      </c>
      <c r="CU54" s="96">
        <v>132869.1</v>
      </c>
      <c r="CV54" s="96">
        <v>34995.35</v>
      </c>
      <c r="CW54" s="96">
        <v>-2.6193447411060333E-10</v>
      </c>
      <c r="CX54" s="95">
        <v>0</v>
      </c>
      <c r="CY54" s="95">
        <v>167864.45</v>
      </c>
      <c r="CZ54" s="97">
        <v>23430.17</v>
      </c>
      <c r="DA54" s="95">
        <v>23430.17</v>
      </c>
      <c r="DB54" s="95">
        <v>0</v>
      </c>
      <c r="DC54" s="95">
        <v>-1.9999999814899638E-2</v>
      </c>
      <c r="DD54" s="96"/>
      <c r="DF54" s="95">
        <v>-2.5465851649641991E-10</v>
      </c>
      <c r="DI54" s="95">
        <v>132869.09999999974</v>
      </c>
      <c r="DJ54" s="95">
        <v>34995.35</v>
      </c>
      <c r="DK54" s="96">
        <v>132869.1</v>
      </c>
      <c r="DL54" s="96">
        <v>34995.35</v>
      </c>
      <c r="DQ54" s="88">
        <v>3302300</v>
      </c>
      <c r="DT54" s="95">
        <f t="shared" si="2"/>
        <v>4471786.3500000006</v>
      </c>
      <c r="DU54" s="95">
        <f t="shared" si="3"/>
        <v>4569279.6300000008</v>
      </c>
      <c r="DV54" s="95">
        <f t="shared" si="4"/>
        <v>-97493.280000000261</v>
      </c>
      <c r="DW54" s="95">
        <f t="shared" si="5"/>
        <v>34991.299999999996</v>
      </c>
      <c r="DX54" s="95">
        <f t="shared" si="6"/>
        <v>0</v>
      </c>
      <c r="DY54" s="95">
        <f t="shared" si="9"/>
        <v>34991.299999999996</v>
      </c>
      <c r="EA54" s="95">
        <f t="shared" si="10"/>
        <v>230362.38</v>
      </c>
      <c r="EB54" s="95">
        <f t="shared" si="11"/>
        <v>-97493.280000000261</v>
      </c>
      <c r="EC54" s="95">
        <f t="shared" si="12"/>
        <v>132869.09999999974</v>
      </c>
      <c r="ED54" s="95">
        <v>132869.09999999974</v>
      </c>
      <c r="EE54" s="95">
        <f t="shared" si="7"/>
        <v>0</v>
      </c>
      <c r="EF54" s="95"/>
      <c r="EG54" s="95">
        <f t="shared" si="13"/>
        <v>4.05</v>
      </c>
      <c r="EH54" s="95">
        <f t="shared" si="16"/>
        <v>34991.299999999996</v>
      </c>
      <c r="EI54" s="95">
        <f t="shared" si="14"/>
        <v>34995.35</v>
      </c>
      <c r="EJ54" s="97">
        <v>34995.35</v>
      </c>
      <c r="EK54" s="95">
        <f t="shared" si="15"/>
        <v>0</v>
      </c>
    </row>
    <row r="55" spans="1:141" s="87" customFormat="1" x14ac:dyDescent="0.35">
      <c r="A55" s="87" t="str">
        <f>_xlfn.XLOOKUP(C55,[1]Adjustment!B:B,[1]Adjustment!H:H,0,0)</f>
        <v>Agree</v>
      </c>
      <c r="B55" s="87">
        <v>2306</v>
      </c>
      <c r="C55" s="88">
        <v>3302306</v>
      </c>
      <c r="D55" s="98" t="s">
        <v>226</v>
      </c>
      <c r="E55" s="89" t="s">
        <v>227</v>
      </c>
      <c r="F55" s="101"/>
      <c r="G55" s="99"/>
      <c r="H55" s="88"/>
      <c r="I55" s="88"/>
      <c r="J55" s="88"/>
      <c r="K55" s="88"/>
      <c r="L55" s="88"/>
      <c r="M55" s="88"/>
      <c r="N55" s="88"/>
      <c r="O55" s="88"/>
      <c r="P55" s="88"/>
      <c r="Q55" s="88"/>
      <c r="R55" s="88"/>
      <c r="S55" s="92"/>
      <c r="T55" s="92"/>
      <c r="U55" s="92"/>
      <c r="V55" s="92"/>
      <c r="W55" s="92"/>
      <c r="X55" s="92"/>
      <c r="Y55" s="93">
        <v>320072.21000000002</v>
      </c>
      <c r="Z55" s="93"/>
      <c r="AA55" s="93">
        <v>33250.43</v>
      </c>
      <c r="AB55" s="93">
        <v>1128499.06</v>
      </c>
      <c r="AC55" s="93">
        <v>0</v>
      </c>
      <c r="AD55" s="93">
        <v>21030</v>
      </c>
      <c r="AE55" s="93">
        <v>0</v>
      </c>
      <c r="AF55" s="93">
        <v>114945.5</v>
      </c>
      <c r="AG55" s="93">
        <v>0</v>
      </c>
      <c r="AH55" s="93">
        <v>0</v>
      </c>
      <c r="AI55" s="93">
        <v>0</v>
      </c>
      <c r="AJ55" s="93">
        <v>92426.92</v>
      </c>
      <c r="AK55" s="93">
        <v>0</v>
      </c>
      <c r="AL55" s="93">
        <v>0</v>
      </c>
      <c r="AM55" s="93">
        <v>0</v>
      </c>
      <c r="AN55" s="93">
        <v>319</v>
      </c>
      <c r="AO55" s="93">
        <v>160</v>
      </c>
      <c r="AP55" s="93">
        <v>0</v>
      </c>
      <c r="AQ55" s="93">
        <v>0</v>
      </c>
      <c r="AR55" s="93">
        <v>0</v>
      </c>
      <c r="AS55" s="93">
        <v>0</v>
      </c>
      <c r="AT55" s="93">
        <v>0</v>
      </c>
      <c r="AU55" s="93">
        <v>19408.759999999998</v>
      </c>
      <c r="AV55" s="93">
        <v>40825</v>
      </c>
      <c r="AW55" s="93">
        <v>671790.44000000064</v>
      </c>
      <c r="AX55" s="93">
        <v>5021</v>
      </c>
      <c r="AY55" s="93">
        <v>243420.89</v>
      </c>
      <c r="AZ55" s="93">
        <v>47503.01</v>
      </c>
      <c r="BA55" s="93">
        <v>123776.95</v>
      </c>
      <c r="BB55" s="93">
        <v>0</v>
      </c>
      <c r="BC55" s="93">
        <v>24306.54</v>
      </c>
      <c r="BD55" s="93">
        <v>434.99</v>
      </c>
      <c r="BE55" s="93">
        <v>740</v>
      </c>
      <c r="BF55" s="93">
        <v>0</v>
      </c>
      <c r="BG55" s="93">
        <v>0</v>
      </c>
      <c r="BH55" s="93">
        <v>16848.84</v>
      </c>
      <c r="BI55" s="93">
        <v>1486.5</v>
      </c>
      <c r="BJ55" s="93">
        <v>1264.3699999999999</v>
      </c>
      <c r="BK55" s="93">
        <v>3075.97</v>
      </c>
      <c r="BL55" s="93">
        <v>28241.07</v>
      </c>
      <c r="BM55" s="93">
        <v>0</v>
      </c>
      <c r="BN55" s="93">
        <v>2524.96</v>
      </c>
      <c r="BO55" s="93">
        <v>29484.329999999369</v>
      </c>
      <c r="BP55" s="93">
        <v>889.8</v>
      </c>
      <c r="BQ55" s="93">
        <v>72.12</v>
      </c>
      <c r="BR55" s="93">
        <v>23377.41</v>
      </c>
      <c r="BS55" s="93">
        <v>4699</v>
      </c>
      <c r="BT55" s="93">
        <v>5570</v>
      </c>
      <c r="BU55" s="93">
        <v>63937.85</v>
      </c>
      <c r="BV55" s="93">
        <v>16342.37</v>
      </c>
      <c r="BW55" s="93">
        <v>0</v>
      </c>
      <c r="BX55" s="93">
        <v>103107.29</v>
      </c>
      <c r="BY55" s="93">
        <v>0</v>
      </c>
      <c r="BZ55" s="93">
        <v>0</v>
      </c>
      <c r="CA55" s="93"/>
      <c r="CB55" s="93">
        <v>0</v>
      </c>
      <c r="CC55" s="93">
        <v>0</v>
      </c>
      <c r="CD55" s="93">
        <v>6250</v>
      </c>
      <c r="CE55" s="93">
        <v>1.8189894035458565E-12</v>
      </c>
      <c r="CF55" s="93">
        <v>0</v>
      </c>
      <c r="CG55" s="93">
        <v>0</v>
      </c>
      <c r="CH55" s="93">
        <v>0</v>
      </c>
      <c r="CI55" s="93">
        <v>0</v>
      </c>
      <c r="CJ55" s="93">
        <v>9995.14</v>
      </c>
      <c r="CK55" s="93"/>
      <c r="CL55" s="93">
        <v>319770.7499999993</v>
      </c>
      <c r="CM55" s="93"/>
      <c r="CN55" s="93">
        <v>29505.29</v>
      </c>
      <c r="CO55" s="93">
        <v>0</v>
      </c>
      <c r="CP55" s="93">
        <v>0</v>
      </c>
      <c r="CQ55" s="93">
        <v>0</v>
      </c>
      <c r="CR55" s="100"/>
      <c r="CS55" s="95">
        <v>313821.42</v>
      </c>
      <c r="CT55" s="95">
        <v>0</v>
      </c>
      <c r="CU55" s="96">
        <v>319770.75</v>
      </c>
      <c r="CV55" s="96">
        <v>-5949.33</v>
      </c>
      <c r="CW55" s="96">
        <v>-5949.3300000000163</v>
      </c>
      <c r="CX55" s="95">
        <v>-5949.33</v>
      </c>
      <c r="CY55" s="95">
        <v>313821.42</v>
      </c>
      <c r="CZ55" s="97">
        <v>13550.619999999997</v>
      </c>
      <c r="DA55" s="95">
        <v>13550.619999999997</v>
      </c>
      <c r="DB55" s="95">
        <v>0</v>
      </c>
      <c r="DC55" s="95">
        <v>-13149.990000000631</v>
      </c>
      <c r="DD55" s="96">
        <v>-5949.33</v>
      </c>
      <c r="DF55" s="95">
        <v>-1.6370904631912708E-11</v>
      </c>
      <c r="DI55" s="95">
        <v>313821.42</v>
      </c>
      <c r="DJ55" s="95">
        <v>0</v>
      </c>
      <c r="DK55" s="96">
        <v>319770.75</v>
      </c>
      <c r="DL55" s="96">
        <v>-5949.33</v>
      </c>
      <c r="DQ55" s="88">
        <v>3302306</v>
      </c>
      <c r="DT55" s="95">
        <f t="shared" si="2"/>
        <v>1417614.24</v>
      </c>
      <c r="DU55" s="95">
        <f t="shared" si="3"/>
        <v>1417915.7000000007</v>
      </c>
      <c r="DV55" s="95">
        <f t="shared" si="4"/>
        <v>-301.46000000066124</v>
      </c>
      <c r="DW55" s="95">
        <f t="shared" si="5"/>
        <v>6250.0000000000018</v>
      </c>
      <c r="DX55" s="95">
        <f t="shared" si="6"/>
        <v>9995.14</v>
      </c>
      <c r="DY55" s="95">
        <f t="shared" si="9"/>
        <v>-3745.1399999999976</v>
      </c>
      <c r="EA55" s="95">
        <f t="shared" si="10"/>
        <v>320072.21000000002</v>
      </c>
      <c r="EB55" s="95">
        <f t="shared" si="11"/>
        <v>-301.46000000066124</v>
      </c>
      <c r="EC55" s="95">
        <f t="shared" si="12"/>
        <v>319770.74999999936</v>
      </c>
      <c r="ED55" s="95">
        <v>319770.74999999936</v>
      </c>
      <c r="EE55" s="95">
        <f t="shared" si="7"/>
        <v>0</v>
      </c>
      <c r="EF55" s="95"/>
      <c r="EG55" s="95">
        <f t="shared" si="13"/>
        <v>33250.43</v>
      </c>
      <c r="EH55" s="95">
        <f t="shared" si="16"/>
        <v>-3745.1399999999976</v>
      </c>
      <c r="EI55" s="95">
        <f t="shared" si="14"/>
        <v>29505.29</v>
      </c>
      <c r="EJ55" s="97">
        <v>29505.29</v>
      </c>
      <c r="EK55" s="95">
        <f t="shared" si="15"/>
        <v>0</v>
      </c>
    </row>
    <row r="56" spans="1:141" s="87" customFormat="1" x14ac:dyDescent="0.35">
      <c r="A56" s="87" t="str">
        <f>_xlfn.XLOOKUP(C56,[1]Adjustment!B:B,[1]Adjustment!H:H,0,0)</f>
        <v>Agree</v>
      </c>
      <c r="B56" s="87">
        <v>2308</v>
      </c>
      <c r="C56" s="88">
        <v>3302308</v>
      </c>
      <c r="D56" s="98" t="s">
        <v>228</v>
      </c>
      <c r="E56" s="89" t="s">
        <v>229</v>
      </c>
      <c r="F56" s="101"/>
      <c r="G56" s="99"/>
      <c r="H56" s="88"/>
      <c r="I56" s="88"/>
      <c r="J56" s="88"/>
      <c r="K56" s="88"/>
      <c r="L56" s="88"/>
      <c r="M56" s="88"/>
      <c r="N56" s="88"/>
      <c r="O56" s="88"/>
      <c r="P56" s="88"/>
      <c r="Q56" s="88"/>
      <c r="R56" s="88"/>
      <c r="S56" s="92"/>
      <c r="T56" s="92"/>
      <c r="U56" s="92"/>
      <c r="V56" s="92"/>
      <c r="W56" s="92"/>
      <c r="X56" s="92"/>
      <c r="Y56" s="93">
        <v>459349.07</v>
      </c>
      <c r="Z56" s="93"/>
      <c r="AA56" s="93">
        <v>17537.740000000002</v>
      </c>
      <c r="AB56" s="93">
        <v>2528563.61</v>
      </c>
      <c r="AC56" s="93">
        <v>0</v>
      </c>
      <c r="AD56" s="93">
        <v>111510.88</v>
      </c>
      <c r="AE56" s="93">
        <v>0</v>
      </c>
      <c r="AF56" s="93">
        <v>330285.5</v>
      </c>
      <c r="AG56" s="93">
        <v>6513.86</v>
      </c>
      <c r="AH56" s="93">
        <v>0</v>
      </c>
      <c r="AI56" s="93">
        <v>0</v>
      </c>
      <c r="AJ56" s="93">
        <v>46618.239999999998</v>
      </c>
      <c r="AK56" s="93">
        <v>32861.75</v>
      </c>
      <c r="AL56" s="93">
        <v>0</v>
      </c>
      <c r="AM56" s="93">
        <v>0</v>
      </c>
      <c r="AN56" s="93">
        <v>11970</v>
      </c>
      <c r="AO56" s="93">
        <v>1600</v>
      </c>
      <c r="AP56" s="93">
        <v>0</v>
      </c>
      <c r="AQ56" s="93">
        <v>0</v>
      </c>
      <c r="AR56" s="93">
        <v>0</v>
      </c>
      <c r="AS56" s="93">
        <v>0</v>
      </c>
      <c r="AT56" s="93">
        <v>0</v>
      </c>
      <c r="AU56" s="93">
        <v>35972</v>
      </c>
      <c r="AV56" s="93">
        <v>56233</v>
      </c>
      <c r="AW56" s="93">
        <v>1264679.9700000004</v>
      </c>
      <c r="AX56" s="93">
        <v>0</v>
      </c>
      <c r="AY56" s="93">
        <v>617074.55000000005</v>
      </c>
      <c r="AZ56" s="93">
        <v>96627.24</v>
      </c>
      <c r="BA56" s="93">
        <v>232562.3</v>
      </c>
      <c r="BB56" s="93">
        <v>93261.759999999995</v>
      </c>
      <c r="BC56" s="93">
        <v>69498.06</v>
      </c>
      <c r="BD56" s="93">
        <v>353.66</v>
      </c>
      <c r="BE56" s="93">
        <v>8552.17</v>
      </c>
      <c r="BF56" s="93">
        <v>0</v>
      </c>
      <c r="BG56" s="93">
        <v>0</v>
      </c>
      <c r="BH56" s="93">
        <v>28979.89</v>
      </c>
      <c r="BI56" s="93">
        <v>6914.88</v>
      </c>
      <c r="BJ56" s="93">
        <v>13745.29</v>
      </c>
      <c r="BK56" s="93">
        <v>8871.93</v>
      </c>
      <c r="BL56" s="93">
        <v>63795.92</v>
      </c>
      <c r="BM56" s="93">
        <v>34990.080000000002</v>
      </c>
      <c r="BN56" s="93">
        <v>12961.62</v>
      </c>
      <c r="BO56" s="93">
        <v>76002.079999999682</v>
      </c>
      <c r="BP56" s="93">
        <v>24174</v>
      </c>
      <c r="BQ56" s="93">
        <v>0</v>
      </c>
      <c r="BR56" s="93">
        <v>36969.61</v>
      </c>
      <c r="BS56" s="93">
        <v>4895</v>
      </c>
      <c r="BT56" s="93">
        <v>0</v>
      </c>
      <c r="BU56" s="93">
        <v>70701.19</v>
      </c>
      <c r="BV56" s="93">
        <v>183417.47</v>
      </c>
      <c r="BW56" s="93">
        <v>25755.56</v>
      </c>
      <c r="BX56" s="93">
        <v>139747.46</v>
      </c>
      <c r="BY56" s="93">
        <v>0</v>
      </c>
      <c r="BZ56" s="93">
        <v>0</v>
      </c>
      <c r="CA56" s="93"/>
      <c r="CB56" s="93">
        <v>0</v>
      </c>
      <c r="CC56" s="93">
        <v>0</v>
      </c>
      <c r="CD56" s="93">
        <v>8688</v>
      </c>
      <c r="CE56" s="93">
        <v>0</v>
      </c>
      <c r="CF56" s="93">
        <v>0</v>
      </c>
      <c r="CG56" s="93">
        <v>0</v>
      </c>
      <c r="CH56" s="93">
        <v>0</v>
      </c>
      <c r="CI56" s="93">
        <v>0</v>
      </c>
      <c r="CJ56" s="93">
        <v>8688</v>
      </c>
      <c r="CK56" s="93"/>
      <c r="CL56" s="93">
        <v>506946.21999999927</v>
      </c>
      <c r="CM56" s="93"/>
      <c r="CN56" s="93">
        <v>17537.740000000002</v>
      </c>
      <c r="CO56" s="93">
        <v>0</v>
      </c>
      <c r="CP56" s="93">
        <v>0</v>
      </c>
      <c r="CQ56" s="93">
        <v>0</v>
      </c>
      <c r="CR56" s="100"/>
      <c r="CS56" s="95">
        <v>506946.21999999991</v>
      </c>
      <c r="CT56" s="95">
        <v>17690.740000000002</v>
      </c>
      <c r="CU56" s="96">
        <v>506946.22</v>
      </c>
      <c r="CV56" s="96">
        <v>17690.740000000002</v>
      </c>
      <c r="CW56" s="96">
        <v>0</v>
      </c>
      <c r="CX56" s="95">
        <v>0</v>
      </c>
      <c r="CY56" s="95">
        <v>524636.96</v>
      </c>
      <c r="CZ56" s="97">
        <v>0</v>
      </c>
      <c r="DA56" s="95">
        <v>0</v>
      </c>
      <c r="DB56" s="95">
        <v>0</v>
      </c>
      <c r="DC56" s="95">
        <v>-3.0000000318977982E-2</v>
      </c>
      <c r="DD56" s="96"/>
      <c r="DF56" s="95">
        <v>0</v>
      </c>
      <c r="DI56" s="95">
        <v>506946.21999999991</v>
      </c>
      <c r="DJ56" s="95">
        <v>17690.740000000002</v>
      </c>
      <c r="DK56" s="96">
        <v>506946.22</v>
      </c>
      <c r="DL56" s="96">
        <v>17690.740000000002</v>
      </c>
      <c r="DQ56" s="88">
        <v>3302308</v>
      </c>
      <c r="DT56" s="95">
        <f t="shared" si="2"/>
        <v>3162128.84</v>
      </c>
      <c r="DU56" s="95">
        <f t="shared" si="3"/>
        <v>3114531.6900000004</v>
      </c>
      <c r="DV56" s="95">
        <f t="shared" si="4"/>
        <v>47597.149999999441</v>
      </c>
      <c r="DW56" s="95">
        <f t="shared" si="5"/>
        <v>8688</v>
      </c>
      <c r="DX56" s="95">
        <f t="shared" si="6"/>
        <v>8688</v>
      </c>
      <c r="DY56" s="95">
        <f t="shared" si="9"/>
        <v>0</v>
      </c>
      <c r="EA56" s="95">
        <f t="shared" si="10"/>
        <v>459349.07</v>
      </c>
      <c r="EB56" s="95">
        <f t="shared" si="11"/>
        <v>47597.149999999441</v>
      </c>
      <c r="EC56" s="95">
        <f t="shared" si="12"/>
        <v>506946.21999999945</v>
      </c>
      <c r="ED56" s="95">
        <v>506946.21999999945</v>
      </c>
      <c r="EE56" s="95">
        <f t="shared" si="7"/>
        <v>0</v>
      </c>
      <c r="EF56" s="95"/>
      <c r="EG56" s="95">
        <f t="shared" si="13"/>
        <v>17537.740000000002</v>
      </c>
      <c r="EH56" s="95">
        <f t="shared" si="16"/>
        <v>0</v>
      </c>
      <c r="EI56" s="95">
        <f t="shared" si="14"/>
        <v>17537.740000000002</v>
      </c>
      <c r="EJ56" s="97">
        <v>17537.740000000002</v>
      </c>
      <c r="EK56" s="95">
        <f t="shared" si="15"/>
        <v>0</v>
      </c>
    </row>
    <row r="57" spans="1:141" s="87" customFormat="1" x14ac:dyDescent="0.35">
      <c r="A57" s="87" t="str">
        <f>_xlfn.XLOOKUP(C57,[1]Adjustment!B:B,[1]Adjustment!H:H,0,0)</f>
        <v>Agree</v>
      </c>
      <c r="B57" s="87">
        <v>2312</v>
      </c>
      <c r="C57" s="88">
        <v>3302312</v>
      </c>
      <c r="D57" s="98" t="s">
        <v>230</v>
      </c>
      <c r="E57" s="89" t="s">
        <v>231</v>
      </c>
      <c r="F57" s="101"/>
      <c r="G57" s="99"/>
      <c r="H57" s="88"/>
      <c r="I57" s="88"/>
      <c r="J57" s="88"/>
      <c r="K57" s="88"/>
      <c r="L57" s="88"/>
      <c r="M57" s="88"/>
      <c r="N57" s="88"/>
      <c r="O57" s="88"/>
      <c r="P57" s="88"/>
      <c r="Q57" s="88"/>
      <c r="R57" s="88"/>
      <c r="S57" s="92"/>
      <c r="T57" s="92"/>
      <c r="U57" s="92"/>
      <c r="V57" s="92"/>
      <c r="W57" s="92"/>
      <c r="X57" s="92"/>
      <c r="Y57" s="93">
        <v>10718.99</v>
      </c>
      <c r="Z57" s="93"/>
      <c r="AA57" s="93">
        <v>17086.689999999999</v>
      </c>
      <c r="AB57" s="93">
        <v>1996024.4</v>
      </c>
      <c r="AC57" s="93">
        <v>0</v>
      </c>
      <c r="AD57" s="93">
        <v>234231.78</v>
      </c>
      <c r="AE57" s="93">
        <v>0</v>
      </c>
      <c r="AF57" s="93">
        <v>104291</v>
      </c>
      <c r="AG57" s="93">
        <v>6513.86</v>
      </c>
      <c r="AH57" s="93">
        <v>0</v>
      </c>
      <c r="AI57" s="93">
        <v>0</v>
      </c>
      <c r="AJ57" s="93">
        <v>297978.63</v>
      </c>
      <c r="AK57" s="93">
        <v>43763.18</v>
      </c>
      <c r="AL57" s="93">
        <v>0</v>
      </c>
      <c r="AM57" s="93">
        <v>0</v>
      </c>
      <c r="AN57" s="93">
        <v>33267.81</v>
      </c>
      <c r="AO57" s="93">
        <v>249.48</v>
      </c>
      <c r="AP57" s="93">
        <v>0</v>
      </c>
      <c r="AQ57" s="93">
        <v>0</v>
      </c>
      <c r="AR57" s="93">
        <v>0</v>
      </c>
      <c r="AS57" s="93">
        <v>0</v>
      </c>
      <c r="AT57" s="93">
        <v>0</v>
      </c>
      <c r="AU57" s="93">
        <v>7217.26</v>
      </c>
      <c r="AV57" s="93">
        <v>89771</v>
      </c>
      <c r="AW57" s="93">
        <v>1238145.6800000009</v>
      </c>
      <c r="AX57" s="93">
        <v>0</v>
      </c>
      <c r="AY57" s="93">
        <v>543748.69999999995</v>
      </c>
      <c r="AZ57" s="93">
        <v>112700.17</v>
      </c>
      <c r="BA57" s="93">
        <v>74229.929999999993</v>
      </c>
      <c r="BB57" s="93">
        <v>66382.850000000006</v>
      </c>
      <c r="BC57" s="93">
        <v>124883.46</v>
      </c>
      <c r="BD57" s="93">
        <v>295</v>
      </c>
      <c r="BE57" s="93">
        <v>11152.12</v>
      </c>
      <c r="BF57" s="93">
        <v>0</v>
      </c>
      <c r="BG57" s="93">
        <v>0</v>
      </c>
      <c r="BH57" s="93">
        <v>59186.16</v>
      </c>
      <c r="BI57" s="93">
        <v>981.6</v>
      </c>
      <c r="BJ57" s="93">
        <v>1013.26</v>
      </c>
      <c r="BK57" s="93">
        <v>4819.0200000000004</v>
      </c>
      <c r="BL57" s="93">
        <v>65947.28</v>
      </c>
      <c r="BM57" s="93">
        <v>29329.919999999998</v>
      </c>
      <c r="BN57" s="93">
        <v>1371.66</v>
      </c>
      <c r="BO57" s="93">
        <v>87956.599999999133</v>
      </c>
      <c r="BP57" s="93">
        <v>1583.73</v>
      </c>
      <c r="BQ57" s="93">
        <v>0</v>
      </c>
      <c r="BR57" s="93">
        <v>29909.919999999998</v>
      </c>
      <c r="BS57" s="93">
        <v>4895</v>
      </c>
      <c r="BT57" s="93">
        <v>77696.27</v>
      </c>
      <c r="BU57" s="93">
        <v>67230.789999999994</v>
      </c>
      <c r="BV57" s="93">
        <v>274519.24</v>
      </c>
      <c r="BW57" s="93">
        <v>0</v>
      </c>
      <c r="BX57" s="93">
        <v>116207.98</v>
      </c>
      <c r="BY57" s="93">
        <v>0</v>
      </c>
      <c r="BZ57" s="93">
        <v>0</v>
      </c>
      <c r="CA57" s="93"/>
      <c r="CB57" s="93">
        <v>0</v>
      </c>
      <c r="CC57" s="93">
        <v>0</v>
      </c>
      <c r="CD57" s="93">
        <v>8736.25</v>
      </c>
      <c r="CE57" s="93">
        <v>14638.860000000004</v>
      </c>
      <c r="CF57" s="93">
        <v>0</v>
      </c>
      <c r="CG57" s="93">
        <v>0</v>
      </c>
      <c r="CH57" s="93">
        <v>0</v>
      </c>
      <c r="CI57" s="93">
        <v>0</v>
      </c>
      <c r="CJ57" s="93">
        <v>0</v>
      </c>
      <c r="CK57" s="93"/>
      <c r="CL57" s="93">
        <v>-170158.95000000065</v>
      </c>
      <c r="CM57" s="93"/>
      <c r="CN57" s="93">
        <v>40461.800000000003</v>
      </c>
      <c r="CO57" s="93">
        <v>0</v>
      </c>
      <c r="CP57" s="93">
        <v>0</v>
      </c>
      <c r="CQ57" s="93">
        <v>0</v>
      </c>
      <c r="CR57" s="100"/>
      <c r="CS57" s="95">
        <v>-170158.94999999995</v>
      </c>
      <c r="CT57" s="95">
        <v>40461.800000000003</v>
      </c>
      <c r="CU57" s="96">
        <v>-170158.95</v>
      </c>
      <c r="CV57" s="96">
        <v>40461.800000000003</v>
      </c>
      <c r="CW57" s="96">
        <v>0</v>
      </c>
      <c r="CX57" s="95">
        <v>0</v>
      </c>
      <c r="CY57" s="95">
        <v>-129697.15000000001</v>
      </c>
      <c r="CZ57" s="97">
        <v>7356.9500000000044</v>
      </c>
      <c r="DA57" s="95">
        <v>7356.9500000000044</v>
      </c>
      <c r="DB57" s="95">
        <v>0</v>
      </c>
      <c r="DC57" s="95">
        <v>-8.7311491370201111E-10</v>
      </c>
      <c r="DD57" s="96"/>
      <c r="DF57" s="95">
        <v>5.8207660913467407E-11</v>
      </c>
      <c r="DI57" s="95">
        <v>-170158.94999999995</v>
      </c>
      <c r="DJ57" s="95">
        <v>40461.800000000003</v>
      </c>
      <c r="DK57" s="96">
        <v>-170158.95</v>
      </c>
      <c r="DL57" s="96">
        <v>40461.800000000003</v>
      </c>
      <c r="DQ57" s="88">
        <v>3302312</v>
      </c>
      <c r="DT57" s="95">
        <f t="shared" si="2"/>
        <v>2813308.3999999994</v>
      </c>
      <c r="DU57" s="95">
        <f t="shared" si="3"/>
        <v>2994186.3400000003</v>
      </c>
      <c r="DV57" s="95">
        <f t="shared" si="4"/>
        <v>-180877.94000000088</v>
      </c>
      <c r="DW57" s="95">
        <f t="shared" si="5"/>
        <v>23375.110000000004</v>
      </c>
      <c r="DX57" s="95">
        <f t="shared" si="6"/>
        <v>0</v>
      </c>
      <c r="DY57" s="95">
        <f t="shared" si="9"/>
        <v>23375.110000000004</v>
      </c>
      <c r="EA57" s="95">
        <f t="shared" si="10"/>
        <v>10718.99</v>
      </c>
      <c r="EB57" s="95">
        <f t="shared" si="11"/>
        <v>-180877.94000000088</v>
      </c>
      <c r="EC57" s="95">
        <f t="shared" si="12"/>
        <v>-170158.95000000088</v>
      </c>
      <c r="ED57" s="95">
        <v>-170158.95000000088</v>
      </c>
      <c r="EE57" s="95">
        <f t="shared" si="7"/>
        <v>0</v>
      </c>
      <c r="EF57" s="95"/>
      <c r="EG57" s="95">
        <f t="shared" si="13"/>
        <v>17086.689999999999</v>
      </c>
      <c r="EH57" s="95">
        <f t="shared" si="16"/>
        <v>23375.110000000004</v>
      </c>
      <c r="EI57" s="95">
        <f t="shared" si="14"/>
        <v>40461.800000000003</v>
      </c>
      <c r="EJ57" s="97">
        <v>40461.800000000003</v>
      </c>
      <c r="EK57" s="95">
        <f t="shared" si="15"/>
        <v>0</v>
      </c>
    </row>
    <row r="58" spans="1:141" s="87" customFormat="1" x14ac:dyDescent="0.35">
      <c r="A58" s="87" t="str">
        <f>_xlfn.XLOOKUP(C58,[1]Adjustment!B:B,[1]Adjustment!H:H,0,0)</f>
        <v>Agree</v>
      </c>
      <c r="B58" s="87">
        <v>2314</v>
      </c>
      <c r="C58" s="88">
        <v>3302314</v>
      </c>
      <c r="D58" s="98" t="s">
        <v>232</v>
      </c>
      <c r="E58" s="89" t="s">
        <v>233</v>
      </c>
      <c r="F58" s="101"/>
      <c r="G58" s="99"/>
      <c r="H58" s="88"/>
      <c r="I58" s="88"/>
      <c r="J58" s="88"/>
      <c r="K58" s="88"/>
      <c r="L58" s="88"/>
      <c r="M58" s="88"/>
      <c r="N58" s="88"/>
      <c r="O58" s="88"/>
      <c r="P58" s="88"/>
      <c r="Q58" s="88"/>
      <c r="R58" s="88"/>
      <c r="S58" s="92"/>
      <c r="T58" s="92"/>
      <c r="U58" s="92"/>
      <c r="V58" s="92"/>
      <c r="W58" s="92"/>
      <c r="X58" s="92"/>
      <c r="Y58" s="93">
        <v>117488.84</v>
      </c>
      <c r="Z58" s="93"/>
      <c r="AA58" s="93">
        <v>33702</v>
      </c>
      <c r="AB58" s="93">
        <v>1058736.97</v>
      </c>
      <c r="AC58" s="93">
        <v>0</v>
      </c>
      <c r="AD58" s="93">
        <v>40705.93</v>
      </c>
      <c r="AE58" s="93">
        <v>0</v>
      </c>
      <c r="AF58" s="93">
        <v>70536</v>
      </c>
      <c r="AG58" s="93">
        <v>400</v>
      </c>
      <c r="AH58" s="93">
        <v>0</v>
      </c>
      <c r="AI58" s="93">
        <v>0</v>
      </c>
      <c r="AJ58" s="93">
        <v>98366.97000000035</v>
      </c>
      <c r="AK58" s="93">
        <v>0</v>
      </c>
      <c r="AL58" s="93">
        <v>0</v>
      </c>
      <c r="AM58" s="93">
        <v>0</v>
      </c>
      <c r="AN58" s="93">
        <v>17697.400000000001</v>
      </c>
      <c r="AO58" s="93">
        <v>77</v>
      </c>
      <c r="AP58" s="93">
        <v>0</v>
      </c>
      <c r="AQ58" s="93">
        <v>0</v>
      </c>
      <c r="AR58" s="93">
        <v>0</v>
      </c>
      <c r="AS58" s="93">
        <v>0</v>
      </c>
      <c r="AT58" s="93">
        <v>0</v>
      </c>
      <c r="AU58" s="93">
        <v>11019.15</v>
      </c>
      <c r="AV58" s="93">
        <v>52641</v>
      </c>
      <c r="AW58" s="93">
        <v>626710.89000000025</v>
      </c>
      <c r="AX58" s="93">
        <v>0</v>
      </c>
      <c r="AY58" s="93">
        <v>180103.65</v>
      </c>
      <c r="AZ58" s="93">
        <v>47019.66</v>
      </c>
      <c r="BA58" s="93">
        <v>68007.25</v>
      </c>
      <c r="BB58" s="93">
        <v>0</v>
      </c>
      <c r="BC58" s="93">
        <v>40910.339999999997</v>
      </c>
      <c r="BD58" s="93">
        <v>539.78</v>
      </c>
      <c r="BE58" s="93">
        <v>2805.5</v>
      </c>
      <c r="BF58" s="93">
        <v>0</v>
      </c>
      <c r="BG58" s="93">
        <v>0</v>
      </c>
      <c r="BH58" s="93">
        <v>3202.63</v>
      </c>
      <c r="BI58" s="93">
        <v>1215.94</v>
      </c>
      <c r="BJ58" s="93">
        <v>1637.53</v>
      </c>
      <c r="BK58" s="93">
        <v>5366.81</v>
      </c>
      <c r="BL58" s="93">
        <v>35893.32</v>
      </c>
      <c r="BM58" s="93">
        <v>0</v>
      </c>
      <c r="BN58" s="93">
        <v>3313.24</v>
      </c>
      <c r="BO58" s="93">
        <v>92910.77</v>
      </c>
      <c r="BP58" s="93">
        <v>778.15</v>
      </c>
      <c r="BQ58" s="93">
        <v>16764.14</v>
      </c>
      <c r="BR58" s="93">
        <v>18437.84</v>
      </c>
      <c r="BS58" s="93">
        <v>4895</v>
      </c>
      <c r="BT58" s="93">
        <v>4290.8</v>
      </c>
      <c r="BU58" s="93">
        <v>40626.370000000003</v>
      </c>
      <c r="BV58" s="93">
        <v>67849.710000000006</v>
      </c>
      <c r="BW58" s="93">
        <v>0</v>
      </c>
      <c r="BX58" s="93">
        <v>69473.05</v>
      </c>
      <c r="BY58" s="93">
        <v>0</v>
      </c>
      <c r="BZ58" s="93">
        <v>0</v>
      </c>
      <c r="CA58" s="93"/>
      <c r="CB58" s="93">
        <v>0</v>
      </c>
      <c r="CC58" s="93">
        <v>0</v>
      </c>
      <c r="CD58" s="93">
        <v>6345.63</v>
      </c>
      <c r="CE58" s="93">
        <v>0</v>
      </c>
      <c r="CF58" s="93">
        <v>0</v>
      </c>
      <c r="CG58" s="93">
        <v>0</v>
      </c>
      <c r="CH58" s="93">
        <v>0</v>
      </c>
      <c r="CI58" s="93">
        <v>1140</v>
      </c>
      <c r="CJ58" s="93">
        <v>10277</v>
      </c>
      <c r="CK58" s="93"/>
      <c r="CL58" s="93">
        <v>134916.8899999999</v>
      </c>
      <c r="CM58" s="93"/>
      <c r="CN58" s="93">
        <v>28630.629999999997</v>
      </c>
      <c r="CO58" s="93">
        <v>0</v>
      </c>
      <c r="CP58" s="93">
        <v>0</v>
      </c>
      <c r="CQ58" s="93">
        <v>0</v>
      </c>
      <c r="CR58" s="100"/>
      <c r="CS58" s="95">
        <v>103873.57000000021</v>
      </c>
      <c r="CT58" s="95">
        <v>0</v>
      </c>
      <c r="CU58" s="96">
        <v>134860.20000000001</v>
      </c>
      <c r="CV58" s="96">
        <v>-30986.63</v>
      </c>
      <c r="CW58" s="96">
        <v>-30986.629999999801</v>
      </c>
      <c r="CX58" s="95">
        <v>-30986.63</v>
      </c>
      <c r="CY58" s="95">
        <v>103873.57</v>
      </c>
      <c r="CZ58" s="97">
        <v>0</v>
      </c>
      <c r="DA58" s="95">
        <v>0</v>
      </c>
      <c r="DB58" s="95">
        <v>50052.51999999964</v>
      </c>
      <c r="DC58" s="95">
        <v>0</v>
      </c>
      <c r="DD58" s="96">
        <v>-30986.63</v>
      </c>
      <c r="DF58" s="95">
        <v>2.0008883439004421E-10</v>
      </c>
      <c r="DI58" s="95">
        <v>103873.57000000021</v>
      </c>
      <c r="DJ58" s="95">
        <v>0</v>
      </c>
      <c r="DK58" s="96">
        <v>134860.20000000001</v>
      </c>
      <c r="DL58" s="96">
        <v>-30986.63</v>
      </c>
      <c r="DQ58" s="88">
        <v>3302314</v>
      </c>
      <c r="DT58" s="95">
        <f t="shared" si="2"/>
        <v>1350180.4200000002</v>
      </c>
      <c r="DU58" s="95">
        <f t="shared" si="3"/>
        <v>1332752.3700000003</v>
      </c>
      <c r="DV58" s="95">
        <f t="shared" si="4"/>
        <v>17428.049999999814</v>
      </c>
      <c r="DW58" s="95">
        <f t="shared" si="5"/>
        <v>6345.63</v>
      </c>
      <c r="DX58" s="95">
        <f t="shared" si="6"/>
        <v>11417</v>
      </c>
      <c r="DY58" s="95">
        <f t="shared" si="9"/>
        <v>-5071.37</v>
      </c>
      <c r="EA58" s="95">
        <f t="shared" si="10"/>
        <v>117488.84</v>
      </c>
      <c r="EB58" s="95">
        <f t="shared" si="11"/>
        <v>17428.049999999814</v>
      </c>
      <c r="EC58" s="95">
        <f t="shared" si="12"/>
        <v>134916.88999999981</v>
      </c>
      <c r="ED58" s="95">
        <v>134916.88999999981</v>
      </c>
      <c r="EE58" s="95">
        <f t="shared" si="7"/>
        <v>0</v>
      </c>
      <c r="EF58" s="95"/>
      <c r="EG58" s="95">
        <f t="shared" si="13"/>
        <v>33702</v>
      </c>
      <c r="EH58" s="95">
        <f t="shared" si="16"/>
        <v>-5071.37</v>
      </c>
      <c r="EI58" s="95">
        <f t="shared" si="14"/>
        <v>28630.63</v>
      </c>
      <c r="EJ58" s="97">
        <v>28630.63</v>
      </c>
      <c r="EK58" s="95">
        <f t="shared" si="15"/>
        <v>0</v>
      </c>
    </row>
    <row r="59" spans="1:141" s="87" customFormat="1" x14ac:dyDescent="0.35">
      <c r="A59" s="87" t="str">
        <f>_xlfn.XLOOKUP(C59,[1]Adjustment!B:B,[1]Adjustment!H:H,0,0)</f>
        <v>Agree</v>
      </c>
      <c r="B59" s="87">
        <v>2321</v>
      </c>
      <c r="C59" s="88">
        <v>3302321</v>
      </c>
      <c r="D59" s="98" t="s">
        <v>234</v>
      </c>
      <c r="E59" s="89" t="s">
        <v>235</v>
      </c>
      <c r="F59" s="101"/>
      <c r="G59" s="99"/>
      <c r="H59" s="88"/>
      <c r="I59" s="88"/>
      <c r="J59" s="88"/>
      <c r="K59" s="88"/>
      <c r="L59" s="88"/>
      <c r="M59" s="88"/>
      <c r="N59" s="88"/>
      <c r="O59" s="88"/>
      <c r="P59" s="88"/>
      <c r="Q59" s="88"/>
      <c r="R59" s="88"/>
      <c r="S59" s="92"/>
      <c r="T59" s="92"/>
      <c r="U59" s="92"/>
      <c r="V59" s="92"/>
      <c r="W59" s="92"/>
      <c r="X59" s="92"/>
      <c r="Y59" s="93">
        <v>271692</v>
      </c>
      <c r="Z59" s="93"/>
      <c r="AA59" s="93">
        <v>14168</v>
      </c>
      <c r="AB59" s="93">
        <v>1132376.5900000001</v>
      </c>
      <c r="AC59" s="93">
        <v>0</v>
      </c>
      <c r="AD59" s="93">
        <v>84471.25</v>
      </c>
      <c r="AE59" s="93">
        <v>0</v>
      </c>
      <c r="AF59" s="93">
        <v>170550</v>
      </c>
      <c r="AG59" s="93">
        <v>5656.93</v>
      </c>
      <c r="AH59" s="93">
        <v>0</v>
      </c>
      <c r="AI59" s="93">
        <v>0</v>
      </c>
      <c r="AJ59" s="93">
        <v>54372.370000000243</v>
      </c>
      <c r="AK59" s="93">
        <v>0</v>
      </c>
      <c r="AL59" s="93">
        <v>0</v>
      </c>
      <c r="AM59" s="93">
        <v>0</v>
      </c>
      <c r="AN59" s="93">
        <v>1015</v>
      </c>
      <c r="AO59" s="93">
        <v>5741.5</v>
      </c>
      <c r="AP59" s="93">
        <v>0</v>
      </c>
      <c r="AQ59" s="93">
        <v>0</v>
      </c>
      <c r="AR59" s="93">
        <v>0</v>
      </c>
      <c r="AS59" s="93">
        <v>0</v>
      </c>
      <c r="AT59" s="93">
        <v>0</v>
      </c>
      <c r="AU59" s="93">
        <v>20833.28</v>
      </c>
      <c r="AV59" s="93">
        <v>25366</v>
      </c>
      <c r="AW59" s="93">
        <v>536096.24000000046</v>
      </c>
      <c r="AX59" s="93">
        <v>0</v>
      </c>
      <c r="AY59" s="93">
        <v>286967.55</v>
      </c>
      <c r="AZ59" s="93">
        <v>0</v>
      </c>
      <c r="BA59" s="93">
        <v>128846.92</v>
      </c>
      <c r="BB59" s="93">
        <v>0</v>
      </c>
      <c r="BC59" s="93">
        <v>42633.74</v>
      </c>
      <c r="BD59" s="93">
        <v>251.04</v>
      </c>
      <c r="BE59" s="93">
        <v>3074</v>
      </c>
      <c r="BF59" s="93">
        <v>0</v>
      </c>
      <c r="BG59" s="93">
        <v>0</v>
      </c>
      <c r="BH59" s="93">
        <v>4504.29</v>
      </c>
      <c r="BI59" s="93">
        <v>1465.24</v>
      </c>
      <c r="BJ59" s="93">
        <v>2573.21</v>
      </c>
      <c r="BK59" s="93">
        <v>3594.74</v>
      </c>
      <c r="BL59" s="93">
        <v>35813.949999999997</v>
      </c>
      <c r="BM59" s="93">
        <v>0</v>
      </c>
      <c r="BN59" s="93">
        <v>2392.91</v>
      </c>
      <c r="BO59" s="93">
        <v>72509.37</v>
      </c>
      <c r="BP59" s="93">
        <v>761</v>
      </c>
      <c r="BQ59" s="93">
        <v>251.65</v>
      </c>
      <c r="BR59" s="93">
        <v>22449.63</v>
      </c>
      <c r="BS59" s="93">
        <v>4895</v>
      </c>
      <c r="BT59" s="93">
        <v>1535</v>
      </c>
      <c r="BU59" s="93">
        <v>83285.59</v>
      </c>
      <c r="BV59" s="93">
        <v>111520.35</v>
      </c>
      <c r="BW59" s="93">
        <v>0</v>
      </c>
      <c r="BX59" s="93">
        <v>98295.75</v>
      </c>
      <c r="BY59" s="93">
        <v>0</v>
      </c>
      <c r="BZ59" s="93">
        <v>0</v>
      </c>
      <c r="CA59" s="93"/>
      <c r="CB59" s="93">
        <v>0</v>
      </c>
      <c r="CC59" s="93">
        <v>0</v>
      </c>
      <c r="CD59" s="93">
        <v>6318</v>
      </c>
      <c r="CE59" s="93">
        <v>0</v>
      </c>
      <c r="CF59" s="93">
        <v>0</v>
      </c>
      <c r="CG59" s="93">
        <v>0</v>
      </c>
      <c r="CH59" s="93">
        <v>0</v>
      </c>
      <c r="CI59" s="93">
        <v>9948.9500000000007</v>
      </c>
      <c r="CJ59" s="93">
        <v>0</v>
      </c>
      <c r="CK59" s="93"/>
      <c r="CL59" s="93">
        <v>328357.74999999977</v>
      </c>
      <c r="CM59" s="93"/>
      <c r="CN59" s="93">
        <v>10537.05</v>
      </c>
      <c r="CO59" s="93">
        <v>0</v>
      </c>
      <c r="CP59" s="93">
        <v>0</v>
      </c>
      <c r="CQ59" s="93">
        <v>0</v>
      </c>
      <c r="CR59" s="100"/>
      <c r="CS59" s="95">
        <v>319513.23000000021</v>
      </c>
      <c r="CT59" s="95">
        <v>2.1884716261411086E-12</v>
      </c>
      <c r="CU59" s="96">
        <v>333805.96000000002</v>
      </c>
      <c r="CV59" s="96">
        <v>-14292.73</v>
      </c>
      <c r="CW59" s="96">
        <v>-14292.729999999807</v>
      </c>
      <c r="CX59" s="95">
        <v>-14292.730000000001</v>
      </c>
      <c r="CY59" s="95">
        <v>319513.23000000004</v>
      </c>
      <c r="CZ59" s="97">
        <v>0</v>
      </c>
      <c r="DA59" s="95">
        <v>0</v>
      </c>
      <c r="DB59" s="95">
        <v>27900.299999999756</v>
      </c>
      <c r="DC59" s="95">
        <v>0</v>
      </c>
      <c r="DD59" s="96">
        <v>-14292.73</v>
      </c>
      <c r="DF59" s="95">
        <v>1.9281287677586079E-10</v>
      </c>
      <c r="DI59" s="95">
        <v>319513.23000000021</v>
      </c>
      <c r="DJ59" s="95">
        <v>2.1884716261411086E-12</v>
      </c>
      <c r="DK59" s="96">
        <v>333805.96000000002</v>
      </c>
      <c r="DL59" s="96">
        <v>-14292.73</v>
      </c>
      <c r="DQ59" s="88">
        <v>3302321</v>
      </c>
      <c r="DT59" s="95">
        <f t="shared" si="2"/>
        <v>1500382.9200000004</v>
      </c>
      <c r="DU59" s="95">
        <f t="shared" si="3"/>
        <v>1443717.1700000006</v>
      </c>
      <c r="DV59" s="95">
        <f t="shared" si="4"/>
        <v>56665.749999999767</v>
      </c>
      <c r="DW59" s="95">
        <f t="shared" si="5"/>
        <v>6318</v>
      </c>
      <c r="DX59" s="95">
        <f t="shared" si="6"/>
        <v>9948.9500000000007</v>
      </c>
      <c r="DY59" s="95">
        <f t="shared" si="9"/>
        <v>-3630.9500000000007</v>
      </c>
      <c r="EA59" s="95">
        <f t="shared" si="10"/>
        <v>271692</v>
      </c>
      <c r="EB59" s="95">
        <f t="shared" si="11"/>
        <v>56665.749999999767</v>
      </c>
      <c r="EC59" s="95">
        <f t="shared" si="12"/>
        <v>328357.74999999977</v>
      </c>
      <c r="ED59" s="95">
        <v>328357.75</v>
      </c>
      <c r="EE59" s="95">
        <f t="shared" si="7"/>
        <v>0</v>
      </c>
      <c r="EF59" s="95"/>
      <c r="EG59" s="95">
        <f t="shared" si="13"/>
        <v>14168</v>
      </c>
      <c r="EH59" s="95">
        <f t="shared" si="16"/>
        <v>-3630.9500000000007</v>
      </c>
      <c r="EI59" s="95">
        <f t="shared" si="14"/>
        <v>10537.05</v>
      </c>
      <c r="EJ59" s="97">
        <v>10537.05</v>
      </c>
      <c r="EK59" s="95">
        <f t="shared" si="15"/>
        <v>0</v>
      </c>
    </row>
    <row r="60" spans="1:141" s="87" customFormat="1" x14ac:dyDescent="0.35">
      <c r="A60" s="87" t="str">
        <f>_xlfn.XLOOKUP(C60,[1]Adjustment!B:B,[1]Adjustment!H:H,0,0)</f>
        <v>Agree</v>
      </c>
      <c r="B60" s="87">
        <v>2401</v>
      </c>
      <c r="C60" s="88">
        <v>3302401</v>
      </c>
      <c r="D60" s="98" t="s">
        <v>236</v>
      </c>
      <c r="E60" s="89" t="s">
        <v>237</v>
      </c>
      <c r="F60" s="101"/>
      <c r="G60" s="99"/>
      <c r="H60" s="88"/>
      <c r="I60" s="88"/>
      <c r="J60" s="88"/>
      <c r="K60" s="88"/>
      <c r="L60" s="88"/>
      <c r="M60" s="88"/>
      <c r="N60" s="88"/>
      <c r="O60" s="88"/>
      <c r="P60" s="88"/>
      <c r="Q60" s="88"/>
      <c r="R60" s="88"/>
      <c r="S60" s="92"/>
      <c r="T60" s="92"/>
      <c r="U60" s="92"/>
      <c r="V60" s="92"/>
      <c r="W60" s="92"/>
      <c r="X60" s="92"/>
      <c r="Y60" s="93">
        <v>170358.93</v>
      </c>
      <c r="Z60" s="93"/>
      <c r="AA60" s="93">
        <v>25177.67</v>
      </c>
      <c r="AB60" s="93">
        <v>1738020.8</v>
      </c>
      <c r="AC60" s="93">
        <v>0</v>
      </c>
      <c r="AD60" s="93">
        <v>41781.699999999997</v>
      </c>
      <c r="AE60" s="93">
        <v>0</v>
      </c>
      <c r="AF60" s="93">
        <v>113985.5</v>
      </c>
      <c r="AG60" s="93">
        <v>2113.86</v>
      </c>
      <c r="AH60" s="93">
        <v>0</v>
      </c>
      <c r="AI60" s="93">
        <v>0</v>
      </c>
      <c r="AJ60" s="93">
        <v>354010.40999999945</v>
      </c>
      <c r="AK60" s="93">
        <v>0</v>
      </c>
      <c r="AL60" s="93">
        <v>0</v>
      </c>
      <c r="AM60" s="93">
        <v>0</v>
      </c>
      <c r="AN60" s="93">
        <v>52143.73</v>
      </c>
      <c r="AO60" s="93">
        <v>500</v>
      </c>
      <c r="AP60" s="93">
        <v>0</v>
      </c>
      <c r="AQ60" s="93">
        <v>0</v>
      </c>
      <c r="AR60" s="93">
        <v>0</v>
      </c>
      <c r="AS60" s="93">
        <v>0</v>
      </c>
      <c r="AT60" s="93">
        <v>0</v>
      </c>
      <c r="AU60" s="93">
        <v>11848.1</v>
      </c>
      <c r="AV60" s="93">
        <v>19750</v>
      </c>
      <c r="AW60" s="93">
        <v>1200097.3599999996</v>
      </c>
      <c r="AX60" s="93">
        <v>0</v>
      </c>
      <c r="AY60" s="93">
        <v>476242.12</v>
      </c>
      <c r="AZ60" s="93">
        <v>26083.75</v>
      </c>
      <c r="BA60" s="93">
        <v>80063.23</v>
      </c>
      <c r="BB60" s="93">
        <v>0</v>
      </c>
      <c r="BC60" s="93">
        <v>64378.58</v>
      </c>
      <c r="BD60" s="93">
        <v>1826</v>
      </c>
      <c r="BE60" s="93">
        <v>2812.79</v>
      </c>
      <c r="BF60" s="93">
        <v>0</v>
      </c>
      <c r="BG60" s="93">
        <v>0</v>
      </c>
      <c r="BH60" s="93">
        <v>35702.870000000003</v>
      </c>
      <c r="BI60" s="93">
        <v>1684.7</v>
      </c>
      <c r="BJ60" s="93">
        <v>50802.75</v>
      </c>
      <c r="BK60" s="93">
        <v>8869.3799999999992</v>
      </c>
      <c r="BL60" s="93">
        <v>111799.5</v>
      </c>
      <c r="BM60" s="93">
        <v>20435.919999999998</v>
      </c>
      <c r="BN60" s="93">
        <v>8376.1</v>
      </c>
      <c r="BO60" s="93">
        <v>129905.01</v>
      </c>
      <c r="BP60" s="93">
        <v>2024</v>
      </c>
      <c r="BQ60" s="93">
        <v>0</v>
      </c>
      <c r="BR60" s="93">
        <v>0</v>
      </c>
      <c r="BS60" s="93">
        <v>4895</v>
      </c>
      <c r="BT60" s="93">
        <v>3945.6</v>
      </c>
      <c r="BU60" s="93">
        <v>14015.34</v>
      </c>
      <c r="BV60" s="93">
        <v>46360.71</v>
      </c>
      <c r="BW60" s="93">
        <v>0</v>
      </c>
      <c r="BX60" s="93">
        <v>147277.57</v>
      </c>
      <c r="BY60" s="93">
        <v>0</v>
      </c>
      <c r="BZ60" s="93">
        <v>0</v>
      </c>
      <c r="CA60" s="93"/>
      <c r="CB60" s="93">
        <v>0</v>
      </c>
      <c r="CC60" s="93">
        <v>0</v>
      </c>
      <c r="CD60" s="93">
        <v>8140</v>
      </c>
      <c r="CE60" s="93">
        <v>17362.020000000004</v>
      </c>
      <c r="CF60" s="93">
        <v>0</v>
      </c>
      <c r="CG60" s="93">
        <v>0</v>
      </c>
      <c r="CH60" s="93">
        <v>0</v>
      </c>
      <c r="CI60" s="93">
        <v>0</v>
      </c>
      <c r="CJ60" s="93">
        <v>0</v>
      </c>
      <c r="CK60" s="93"/>
      <c r="CL60" s="93">
        <v>66914.750000000466</v>
      </c>
      <c r="CM60" s="93"/>
      <c r="CN60" s="93">
        <v>50679.69</v>
      </c>
      <c r="CO60" s="93">
        <v>0</v>
      </c>
      <c r="CP60" s="93">
        <v>0</v>
      </c>
      <c r="CQ60" s="93">
        <v>0</v>
      </c>
      <c r="CR60" s="100"/>
      <c r="CS60" s="95">
        <v>66914.749999999825</v>
      </c>
      <c r="CT60" s="95">
        <v>59110.65</v>
      </c>
      <c r="CU60" s="96">
        <v>66914.75</v>
      </c>
      <c r="CV60" s="96">
        <v>59110.65</v>
      </c>
      <c r="CW60" s="96">
        <v>-1.7462298274040222E-10</v>
      </c>
      <c r="CX60" s="95">
        <v>0</v>
      </c>
      <c r="CY60" s="95">
        <v>126025.4</v>
      </c>
      <c r="CZ60" s="97">
        <v>17362.020000000004</v>
      </c>
      <c r="DA60" s="95">
        <v>17362.020000000004</v>
      </c>
      <c r="DB60" s="95">
        <v>3.0000000551808625E-2</v>
      </c>
      <c r="DC60" s="95">
        <v>0</v>
      </c>
      <c r="DD60" s="96"/>
      <c r="DF60" s="95">
        <v>-1.8189894035458565E-10</v>
      </c>
      <c r="DI60" s="95">
        <v>66914.749999999825</v>
      </c>
      <c r="DJ60" s="95">
        <v>59110.65</v>
      </c>
      <c r="DK60" s="96">
        <v>66914.75</v>
      </c>
      <c r="DL60" s="96">
        <v>59110.65</v>
      </c>
      <c r="DQ60" s="88">
        <v>3302401</v>
      </c>
      <c r="DT60" s="95">
        <f t="shared" si="2"/>
        <v>2334154.0999999996</v>
      </c>
      <c r="DU60" s="95">
        <f t="shared" si="3"/>
        <v>2437598.2799999993</v>
      </c>
      <c r="DV60" s="95">
        <f t="shared" si="4"/>
        <v>-103444.1799999997</v>
      </c>
      <c r="DW60" s="95">
        <f t="shared" si="5"/>
        <v>25502.020000000004</v>
      </c>
      <c r="DX60" s="95">
        <f t="shared" si="6"/>
        <v>0</v>
      </c>
      <c r="DY60" s="95">
        <f t="shared" si="9"/>
        <v>25502.020000000004</v>
      </c>
      <c r="EA60" s="95">
        <f t="shared" si="10"/>
        <v>170358.93</v>
      </c>
      <c r="EB60" s="95">
        <f t="shared" si="11"/>
        <v>-103444.1799999997</v>
      </c>
      <c r="EC60" s="95">
        <f t="shared" si="12"/>
        <v>66914.750000000291</v>
      </c>
      <c r="ED60" s="95">
        <v>66914.750000000291</v>
      </c>
      <c r="EE60" s="95">
        <f t="shared" si="7"/>
        <v>0</v>
      </c>
      <c r="EF60" s="95"/>
      <c r="EG60" s="95">
        <f t="shared" si="13"/>
        <v>25177.67</v>
      </c>
      <c r="EH60" s="95">
        <f t="shared" si="16"/>
        <v>25502.020000000004</v>
      </c>
      <c r="EI60" s="95">
        <f t="shared" si="14"/>
        <v>50679.69</v>
      </c>
      <c r="EJ60" s="97">
        <v>50679.69</v>
      </c>
      <c r="EK60" s="95">
        <f t="shared" si="15"/>
        <v>0</v>
      </c>
    </row>
    <row r="61" spans="1:141" s="87" customFormat="1" x14ac:dyDescent="0.35">
      <c r="A61" s="87" t="str">
        <f>_xlfn.XLOOKUP(C61,[1]Adjustment!B:B,[1]Adjustment!H:H,0,0)</f>
        <v>Agree</v>
      </c>
      <c r="B61" s="87">
        <v>2402</v>
      </c>
      <c r="C61" s="88">
        <v>3302402</v>
      </c>
      <c r="D61" s="98" t="s">
        <v>238</v>
      </c>
      <c r="E61" s="89" t="s">
        <v>239</v>
      </c>
      <c r="F61" s="101"/>
      <c r="G61" s="99"/>
      <c r="H61" s="88"/>
      <c r="I61" s="88"/>
      <c r="J61" s="88"/>
      <c r="K61" s="88"/>
      <c r="L61" s="88"/>
      <c r="M61" s="88"/>
      <c r="N61" s="88"/>
      <c r="O61" s="88"/>
      <c r="P61" s="88"/>
      <c r="Q61" s="88"/>
      <c r="R61" s="88"/>
      <c r="S61" s="92"/>
      <c r="T61" s="92"/>
      <c r="U61" s="92"/>
      <c r="V61" s="92"/>
      <c r="W61" s="92"/>
      <c r="X61" s="92"/>
      <c r="Y61" s="93">
        <v>190786.68</v>
      </c>
      <c r="Z61" s="93"/>
      <c r="AA61" s="93">
        <v>25177.67</v>
      </c>
      <c r="AB61" s="93">
        <v>1451192.35</v>
      </c>
      <c r="AC61" s="93">
        <v>0</v>
      </c>
      <c r="AD61" s="93">
        <v>512912.11</v>
      </c>
      <c r="AE61" s="93">
        <v>0</v>
      </c>
      <c r="AF61" s="93">
        <v>66041.5</v>
      </c>
      <c r="AG61" s="93">
        <v>6580</v>
      </c>
      <c r="AH61" s="93">
        <v>0</v>
      </c>
      <c r="AI61" s="93">
        <v>0</v>
      </c>
      <c r="AJ61" s="93">
        <v>111226.73</v>
      </c>
      <c r="AK61" s="93">
        <v>3541.65</v>
      </c>
      <c r="AL61" s="93">
        <v>0</v>
      </c>
      <c r="AM61" s="93">
        <v>0</v>
      </c>
      <c r="AN61" s="93">
        <v>5354.11</v>
      </c>
      <c r="AO61" s="93">
        <v>1436.82</v>
      </c>
      <c r="AP61" s="93">
        <v>0</v>
      </c>
      <c r="AQ61" s="93">
        <v>0</v>
      </c>
      <c r="AR61" s="93">
        <v>0</v>
      </c>
      <c r="AS61" s="93">
        <v>0</v>
      </c>
      <c r="AT61" s="93">
        <v>0</v>
      </c>
      <c r="AU61" s="93">
        <v>11726.1</v>
      </c>
      <c r="AV61" s="93">
        <v>126781</v>
      </c>
      <c r="AW61" s="93">
        <v>1146141.8500000006</v>
      </c>
      <c r="AX61" s="93">
        <v>0</v>
      </c>
      <c r="AY61" s="93">
        <v>522929.04</v>
      </c>
      <c r="AZ61" s="93">
        <v>17727.5</v>
      </c>
      <c r="BA61" s="93">
        <v>65909.19</v>
      </c>
      <c r="BB61" s="93">
        <v>0</v>
      </c>
      <c r="BC61" s="93">
        <v>58646.89</v>
      </c>
      <c r="BD61" s="93">
        <v>525</v>
      </c>
      <c r="BE61" s="93">
        <v>4393.82</v>
      </c>
      <c r="BF61" s="93">
        <v>0</v>
      </c>
      <c r="BG61" s="93">
        <v>0</v>
      </c>
      <c r="BH61" s="93">
        <v>30437.7</v>
      </c>
      <c r="BI61" s="93">
        <v>0</v>
      </c>
      <c r="BJ61" s="93">
        <v>32520.41</v>
      </c>
      <c r="BK61" s="93">
        <v>5445.63</v>
      </c>
      <c r="BL61" s="93">
        <v>43993.94</v>
      </c>
      <c r="BM61" s="93">
        <v>17552.330000000002</v>
      </c>
      <c r="BN61" s="93">
        <v>9580.2199999999993</v>
      </c>
      <c r="BO61" s="93">
        <v>33866.149999999747</v>
      </c>
      <c r="BP61" s="93">
        <v>104</v>
      </c>
      <c r="BQ61" s="93">
        <v>0</v>
      </c>
      <c r="BR61" s="93">
        <v>25799.53</v>
      </c>
      <c r="BS61" s="93">
        <v>4895</v>
      </c>
      <c r="BT61" s="93">
        <v>0</v>
      </c>
      <c r="BU61" s="93">
        <v>88605.24</v>
      </c>
      <c r="BV61" s="93">
        <v>148201.1</v>
      </c>
      <c r="BW61" s="93">
        <v>0</v>
      </c>
      <c r="BX61" s="93">
        <v>164164.57</v>
      </c>
      <c r="BY61" s="93">
        <v>0</v>
      </c>
      <c r="BZ61" s="93">
        <v>0</v>
      </c>
      <c r="CA61" s="93"/>
      <c r="CB61" s="93">
        <v>0</v>
      </c>
      <c r="CC61" s="93">
        <v>0</v>
      </c>
      <c r="CD61" s="93">
        <v>7512.25</v>
      </c>
      <c r="CE61" s="93">
        <v>16166.44</v>
      </c>
      <c r="CF61" s="93">
        <v>0</v>
      </c>
      <c r="CG61" s="93">
        <v>0</v>
      </c>
      <c r="CH61" s="93">
        <v>0</v>
      </c>
      <c r="CI61" s="93">
        <v>0</v>
      </c>
      <c r="CJ61" s="93">
        <v>0</v>
      </c>
      <c r="CK61" s="93"/>
      <c r="CL61" s="93">
        <v>66139.939999999944</v>
      </c>
      <c r="CM61" s="93"/>
      <c r="CN61" s="93">
        <v>48856.36</v>
      </c>
      <c r="CO61" s="93">
        <v>0</v>
      </c>
      <c r="CP61" s="93">
        <v>0</v>
      </c>
      <c r="CQ61" s="93">
        <v>0</v>
      </c>
      <c r="CR61" s="100"/>
      <c r="CS61" s="95">
        <v>66139.940000000235</v>
      </c>
      <c r="CT61" s="95">
        <v>31896.520000000004</v>
      </c>
      <c r="CU61" s="96">
        <v>66139.94</v>
      </c>
      <c r="CV61" s="96">
        <v>31896.52</v>
      </c>
      <c r="CW61" s="96">
        <v>2.3283064365386963E-10</v>
      </c>
      <c r="CX61" s="95">
        <v>0</v>
      </c>
      <c r="CY61" s="95">
        <v>98036.46</v>
      </c>
      <c r="CZ61" s="97">
        <v>16166.44</v>
      </c>
      <c r="DA61" s="95">
        <v>16166.44</v>
      </c>
      <c r="DB61" s="95">
        <v>0</v>
      </c>
      <c r="DC61" s="95">
        <v>-2.0000000251457095E-2</v>
      </c>
      <c r="DD61" s="96"/>
      <c r="DF61" s="95">
        <v>2.3646862246096134E-10</v>
      </c>
      <c r="DI61" s="95">
        <v>66139.940000000235</v>
      </c>
      <c r="DJ61" s="95">
        <v>31896.520000000004</v>
      </c>
      <c r="DK61" s="96">
        <v>66139.94</v>
      </c>
      <c r="DL61" s="96">
        <v>31896.52</v>
      </c>
      <c r="DQ61" s="88">
        <v>3302402</v>
      </c>
      <c r="DT61" s="95">
        <f t="shared" si="2"/>
        <v>2296792.3699999996</v>
      </c>
      <c r="DU61" s="95">
        <f t="shared" si="3"/>
        <v>2421439.11</v>
      </c>
      <c r="DV61" s="95">
        <f t="shared" si="4"/>
        <v>-124646.74000000022</v>
      </c>
      <c r="DW61" s="95">
        <f t="shared" si="5"/>
        <v>23678.690000000002</v>
      </c>
      <c r="DX61" s="95">
        <f t="shared" si="6"/>
        <v>0</v>
      </c>
      <c r="DY61" s="95">
        <f t="shared" si="9"/>
        <v>23678.690000000002</v>
      </c>
      <c r="EA61" s="95">
        <f t="shared" si="10"/>
        <v>190786.68</v>
      </c>
      <c r="EB61" s="95">
        <f t="shared" si="11"/>
        <v>-124646.74000000022</v>
      </c>
      <c r="EC61" s="95">
        <f t="shared" si="12"/>
        <v>66139.939999999769</v>
      </c>
      <c r="ED61" s="95">
        <v>66139.939999999769</v>
      </c>
      <c r="EE61" s="95">
        <f t="shared" si="7"/>
        <v>0</v>
      </c>
      <c r="EF61" s="95"/>
      <c r="EG61" s="95">
        <f t="shared" si="13"/>
        <v>25177.67</v>
      </c>
      <c r="EH61" s="95">
        <f t="shared" si="16"/>
        <v>23678.690000000002</v>
      </c>
      <c r="EI61" s="95">
        <f t="shared" si="14"/>
        <v>48856.36</v>
      </c>
      <c r="EJ61" s="97">
        <v>48856.36</v>
      </c>
      <c r="EK61" s="95">
        <f t="shared" si="15"/>
        <v>0</v>
      </c>
    </row>
    <row r="62" spans="1:141" s="87" customFormat="1" x14ac:dyDescent="0.35">
      <c r="A62" s="87" t="str">
        <f>_xlfn.XLOOKUP(C62,[1]Adjustment!B:B,[1]Adjustment!H:H,0,0)</f>
        <v>Agree</v>
      </c>
      <c r="B62" s="87">
        <v>2416</v>
      </c>
      <c r="C62" s="88">
        <v>3302416</v>
      </c>
      <c r="D62" s="98" t="s">
        <v>240</v>
      </c>
      <c r="E62" s="89" t="s">
        <v>241</v>
      </c>
      <c r="F62" s="101"/>
      <c r="G62" s="99"/>
      <c r="H62" s="88"/>
      <c r="I62" s="88"/>
      <c r="J62" s="88"/>
      <c r="K62" s="88"/>
      <c r="L62" s="88"/>
      <c r="M62" s="88"/>
      <c r="N62" s="88"/>
      <c r="O62" s="88"/>
      <c r="P62" s="88"/>
      <c r="Q62" s="88"/>
      <c r="R62" s="88"/>
      <c r="S62" s="92"/>
      <c r="T62" s="92"/>
      <c r="U62" s="92"/>
      <c r="V62" s="92"/>
      <c r="W62" s="92"/>
      <c r="X62" s="92"/>
      <c r="Y62" s="93"/>
      <c r="Z62" s="93">
        <v>-24451.439999999999</v>
      </c>
      <c r="AA62" s="93">
        <v>15992.27</v>
      </c>
      <c r="AB62" s="93">
        <v>1720302.15</v>
      </c>
      <c r="AC62" s="93">
        <v>0</v>
      </c>
      <c r="AD62" s="93">
        <v>45008.33</v>
      </c>
      <c r="AE62" s="93">
        <v>0</v>
      </c>
      <c r="AF62" s="93">
        <v>61380</v>
      </c>
      <c r="AG62" s="93">
        <v>13370.79</v>
      </c>
      <c r="AH62" s="93">
        <v>1200</v>
      </c>
      <c r="AI62" s="93">
        <v>0</v>
      </c>
      <c r="AJ62" s="93">
        <v>229248.51</v>
      </c>
      <c r="AK62" s="93">
        <v>56120.55</v>
      </c>
      <c r="AL62" s="93">
        <v>0</v>
      </c>
      <c r="AM62" s="93">
        <v>0</v>
      </c>
      <c r="AN62" s="93">
        <v>38983.620000000003</v>
      </c>
      <c r="AO62" s="93">
        <v>28526.93</v>
      </c>
      <c r="AP62" s="93">
        <v>0</v>
      </c>
      <c r="AQ62" s="93">
        <v>0</v>
      </c>
      <c r="AR62" s="93">
        <v>0</v>
      </c>
      <c r="AS62" s="93">
        <v>0</v>
      </c>
      <c r="AT62" s="93">
        <v>0</v>
      </c>
      <c r="AU62" s="93">
        <v>5860.12</v>
      </c>
      <c r="AV62" s="93">
        <v>93285</v>
      </c>
      <c r="AW62" s="93">
        <v>936569.14999999956</v>
      </c>
      <c r="AX62" s="93">
        <v>0</v>
      </c>
      <c r="AY62" s="93">
        <v>427757.2</v>
      </c>
      <c r="AZ62" s="93">
        <v>42212.160000000003</v>
      </c>
      <c r="BA62" s="93">
        <v>147637.78</v>
      </c>
      <c r="BB62" s="93">
        <v>0</v>
      </c>
      <c r="BC62" s="93">
        <v>45127.85</v>
      </c>
      <c r="BD62" s="93">
        <v>696</v>
      </c>
      <c r="BE62" s="93">
        <v>8256.61</v>
      </c>
      <c r="BF62" s="93">
        <v>0</v>
      </c>
      <c r="BG62" s="93">
        <v>0</v>
      </c>
      <c r="BH62" s="93">
        <v>42716.81</v>
      </c>
      <c r="BI62" s="93">
        <v>2244.11</v>
      </c>
      <c r="BJ62" s="93">
        <v>40555.370000000003</v>
      </c>
      <c r="BK62" s="93">
        <v>4846.5200000000004</v>
      </c>
      <c r="BL62" s="93">
        <v>41405.519999999997</v>
      </c>
      <c r="BM62" s="93">
        <v>31645.439999999999</v>
      </c>
      <c r="BN62" s="93">
        <v>2190.94</v>
      </c>
      <c r="BO62" s="93">
        <v>62907.110000000583</v>
      </c>
      <c r="BP62" s="93">
        <v>7163.74</v>
      </c>
      <c r="BQ62" s="93">
        <v>9004.4</v>
      </c>
      <c r="BR62" s="93">
        <v>50874.49</v>
      </c>
      <c r="BS62" s="93">
        <v>4895</v>
      </c>
      <c r="BT62" s="93">
        <v>0</v>
      </c>
      <c r="BU62" s="93">
        <v>139378.38</v>
      </c>
      <c r="BV62" s="93">
        <v>91047.360000000001</v>
      </c>
      <c r="BW62" s="93">
        <v>27674.05</v>
      </c>
      <c r="BX62" s="93">
        <v>59766.6</v>
      </c>
      <c r="BY62" s="93">
        <v>0</v>
      </c>
      <c r="BZ62" s="93">
        <v>0</v>
      </c>
      <c r="CA62" s="93"/>
      <c r="CB62" s="93">
        <v>0</v>
      </c>
      <c r="CC62" s="93">
        <v>0</v>
      </c>
      <c r="CD62" s="93">
        <v>7780</v>
      </c>
      <c r="CE62" s="93">
        <v>16158.42</v>
      </c>
      <c r="CF62" s="93">
        <v>0</v>
      </c>
      <c r="CG62" s="93">
        <v>0</v>
      </c>
      <c r="CH62" s="93">
        <v>0</v>
      </c>
      <c r="CI62" s="93">
        <v>0</v>
      </c>
      <c r="CJ62" s="93">
        <v>34172.18</v>
      </c>
      <c r="CK62" s="93"/>
      <c r="CL62" s="93">
        <v>42261.970000000205</v>
      </c>
      <c r="CM62" s="93"/>
      <c r="CN62" s="93">
        <v>5758.510000000002</v>
      </c>
      <c r="CO62" s="93">
        <v>0</v>
      </c>
      <c r="CP62" s="93">
        <v>0</v>
      </c>
      <c r="CQ62" s="93">
        <v>0</v>
      </c>
      <c r="CR62" s="100"/>
      <c r="CS62" s="95">
        <v>13589.969999999685</v>
      </c>
      <c r="CT62" s="95">
        <v>5758.5099999999984</v>
      </c>
      <c r="CU62" s="96">
        <v>13589.97</v>
      </c>
      <c r="CV62" s="96">
        <v>5758.51</v>
      </c>
      <c r="CW62" s="96">
        <v>-3.1468516681343317E-10</v>
      </c>
      <c r="CX62" s="95">
        <v>0</v>
      </c>
      <c r="CY62" s="95">
        <v>19348.48</v>
      </c>
      <c r="CZ62" s="97">
        <v>16158.42</v>
      </c>
      <c r="DA62" s="95">
        <v>16158.42</v>
      </c>
      <c r="DB62" s="95">
        <v>0</v>
      </c>
      <c r="DC62" s="95">
        <v>-3.9999999420615495E-2</v>
      </c>
      <c r="DD62" s="96"/>
      <c r="DF62" s="95">
        <v>-3.1650415621697903E-10</v>
      </c>
      <c r="DI62" s="95">
        <v>13589.969999999685</v>
      </c>
      <c r="DJ62" s="95">
        <v>5758.5099999999984</v>
      </c>
      <c r="DK62" s="96">
        <v>13589.97</v>
      </c>
      <c r="DL62" s="96">
        <v>5758.51</v>
      </c>
      <c r="DQ62" s="88">
        <v>3302416</v>
      </c>
      <c r="DT62" s="95">
        <f t="shared" si="2"/>
        <v>2293286.0000000005</v>
      </c>
      <c r="DU62" s="95">
        <f t="shared" si="3"/>
        <v>2226572.5900000003</v>
      </c>
      <c r="DV62" s="95">
        <f t="shared" si="4"/>
        <v>66713.410000000149</v>
      </c>
      <c r="DW62" s="95">
        <f t="shared" si="5"/>
        <v>23938.42</v>
      </c>
      <c r="DX62" s="95">
        <f t="shared" si="6"/>
        <v>34172.18</v>
      </c>
      <c r="DY62" s="95">
        <f t="shared" si="9"/>
        <v>-10233.760000000002</v>
      </c>
      <c r="EA62" s="95">
        <f t="shared" si="10"/>
        <v>-24451.439999999999</v>
      </c>
      <c r="EB62" s="95">
        <f t="shared" si="11"/>
        <v>66713.410000000149</v>
      </c>
      <c r="EC62" s="95">
        <f t="shared" si="12"/>
        <v>42261.970000000147</v>
      </c>
      <c r="ED62" s="95">
        <v>42261.970000000147</v>
      </c>
      <c r="EE62" s="95">
        <f t="shared" si="7"/>
        <v>0</v>
      </c>
      <c r="EF62" s="95"/>
      <c r="EG62" s="95">
        <f t="shared" si="13"/>
        <v>15992.27</v>
      </c>
      <c r="EH62" s="95">
        <f t="shared" si="16"/>
        <v>-10233.760000000002</v>
      </c>
      <c r="EI62" s="95">
        <f t="shared" si="14"/>
        <v>5758.5099999999984</v>
      </c>
      <c r="EJ62" s="97">
        <v>5758.5099999999984</v>
      </c>
      <c r="EK62" s="95">
        <f t="shared" si="15"/>
        <v>0</v>
      </c>
    </row>
    <row r="63" spans="1:141" s="87" customFormat="1" x14ac:dyDescent="0.35">
      <c r="A63" s="87" t="str">
        <f>_xlfn.XLOOKUP(C63,[1]Adjustment!B:B,[1]Adjustment!H:H,0,0)</f>
        <v>Agree</v>
      </c>
      <c r="B63" s="87">
        <v>2420</v>
      </c>
      <c r="C63" s="88">
        <v>3302420</v>
      </c>
      <c r="D63" s="98" t="s">
        <v>242</v>
      </c>
      <c r="E63" s="89" t="s">
        <v>243</v>
      </c>
      <c r="F63" s="101"/>
      <c r="G63" s="99"/>
      <c r="H63" s="88"/>
      <c r="I63" s="88"/>
      <c r="J63" s="88"/>
      <c r="K63" s="88"/>
      <c r="L63" s="88"/>
      <c r="M63" s="88"/>
      <c r="N63" s="88"/>
      <c r="O63" s="88"/>
      <c r="P63" s="88"/>
      <c r="Q63" s="88"/>
      <c r="R63" s="88"/>
      <c r="S63" s="92"/>
      <c r="T63" s="92"/>
      <c r="U63" s="92"/>
      <c r="V63" s="92"/>
      <c r="W63" s="92"/>
      <c r="X63" s="92"/>
      <c r="Y63" s="93">
        <v>307460.06</v>
      </c>
      <c r="Z63" s="93"/>
      <c r="AA63" s="93">
        <v>21010</v>
      </c>
      <c r="AB63" s="93">
        <v>1908972.54</v>
      </c>
      <c r="AC63" s="93">
        <v>0</v>
      </c>
      <c r="AD63" s="93">
        <v>97056.19</v>
      </c>
      <c r="AE63" s="93">
        <v>0</v>
      </c>
      <c r="AF63" s="93">
        <v>29056.5</v>
      </c>
      <c r="AG63" s="93">
        <v>9456.93</v>
      </c>
      <c r="AH63" s="93">
        <v>0</v>
      </c>
      <c r="AI63" s="93">
        <v>0</v>
      </c>
      <c r="AJ63" s="93">
        <v>211870.27999999968</v>
      </c>
      <c r="AK63" s="93">
        <v>0</v>
      </c>
      <c r="AL63" s="93">
        <v>0</v>
      </c>
      <c r="AM63" s="93">
        <v>0</v>
      </c>
      <c r="AN63" s="93">
        <v>84966.24</v>
      </c>
      <c r="AO63" s="93">
        <v>1071.5</v>
      </c>
      <c r="AP63" s="93">
        <v>0</v>
      </c>
      <c r="AQ63" s="93">
        <v>0</v>
      </c>
      <c r="AR63" s="93">
        <v>0</v>
      </c>
      <c r="AS63" s="93">
        <v>0</v>
      </c>
      <c r="AT63" s="93">
        <v>0</v>
      </c>
      <c r="AU63" s="93">
        <v>4728.62</v>
      </c>
      <c r="AV63" s="93">
        <v>99423</v>
      </c>
      <c r="AW63" s="93">
        <v>1054292.6699999995</v>
      </c>
      <c r="AX63" s="93">
        <v>0</v>
      </c>
      <c r="AY63" s="93">
        <v>275941.61</v>
      </c>
      <c r="AZ63" s="93">
        <v>40450.17</v>
      </c>
      <c r="BA63" s="93">
        <v>238952.18</v>
      </c>
      <c r="BB63" s="93">
        <v>0</v>
      </c>
      <c r="BC63" s="93">
        <v>183901.37</v>
      </c>
      <c r="BD63" s="93">
        <v>288.32</v>
      </c>
      <c r="BE63" s="93">
        <v>8211.1</v>
      </c>
      <c r="BF63" s="93">
        <v>0</v>
      </c>
      <c r="BG63" s="93">
        <v>0</v>
      </c>
      <c r="BH63" s="93">
        <v>1787.51</v>
      </c>
      <c r="BI63" s="93">
        <v>69.23</v>
      </c>
      <c r="BJ63" s="93">
        <v>42771.41</v>
      </c>
      <c r="BK63" s="93">
        <v>4305.1499999999996</v>
      </c>
      <c r="BL63" s="93">
        <v>71572.05</v>
      </c>
      <c r="BM63" s="93">
        <v>0</v>
      </c>
      <c r="BN63" s="93">
        <v>18716.68</v>
      </c>
      <c r="BO63" s="93">
        <v>126937.03</v>
      </c>
      <c r="BP63" s="93">
        <v>20771.099999999999</v>
      </c>
      <c r="BQ63" s="93">
        <v>489.54</v>
      </c>
      <c r="BR63" s="93">
        <v>51588.58</v>
      </c>
      <c r="BS63" s="93">
        <v>9020</v>
      </c>
      <c r="BT63" s="93">
        <v>0</v>
      </c>
      <c r="BU63" s="93">
        <v>94265.38</v>
      </c>
      <c r="BV63" s="93">
        <v>55908.18</v>
      </c>
      <c r="BW63" s="93">
        <v>750</v>
      </c>
      <c r="BX63" s="93">
        <v>68991.429999999993</v>
      </c>
      <c r="BY63" s="93">
        <v>0</v>
      </c>
      <c r="BZ63" s="93">
        <v>0</v>
      </c>
      <c r="CA63" s="93"/>
      <c r="CB63" s="93">
        <v>0</v>
      </c>
      <c r="CC63" s="93">
        <v>0</v>
      </c>
      <c r="CD63" s="93">
        <v>8725</v>
      </c>
      <c r="CE63" s="93">
        <v>17843.46</v>
      </c>
      <c r="CF63" s="93">
        <v>0</v>
      </c>
      <c r="CG63" s="93">
        <v>0</v>
      </c>
      <c r="CH63" s="93">
        <v>0</v>
      </c>
      <c r="CI63" s="93">
        <v>0</v>
      </c>
      <c r="CJ63" s="93">
        <v>25399</v>
      </c>
      <c r="CK63" s="93"/>
      <c r="CL63" s="93">
        <v>384081.17000000039</v>
      </c>
      <c r="CM63" s="93"/>
      <c r="CN63" s="93">
        <v>22179.46</v>
      </c>
      <c r="CO63" s="93">
        <v>0</v>
      </c>
      <c r="CP63" s="93">
        <v>0</v>
      </c>
      <c r="CQ63" s="93">
        <v>0</v>
      </c>
      <c r="CR63" s="100"/>
      <c r="CS63" s="95">
        <v>326677.24999999994</v>
      </c>
      <c r="CT63" s="95">
        <v>0</v>
      </c>
      <c r="CU63" s="96">
        <v>384081.17</v>
      </c>
      <c r="CV63" s="96">
        <v>-57403.92</v>
      </c>
      <c r="CW63" s="96">
        <v>-57403.920000000042</v>
      </c>
      <c r="CX63" s="95">
        <v>-57403.92</v>
      </c>
      <c r="CY63" s="95">
        <v>326677.25</v>
      </c>
      <c r="CZ63" s="97">
        <v>17843.460000000006</v>
      </c>
      <c r="DA63" s="95">
        <v>17843.460000000006</v>
      </c>
      <c r="DB63" s="95">
        <v>6439.960000000312</v>
      </c>
      <c r="DC63" s="95">
        <v>0</v>
      </c>
      <c r="DD63" s="96">
        <v>-57403.92</v>
      </c>
      <c r="DF63" s="95">
        <v>0</v>
      </c>
      <c r="DI63" s="95">
        <v>326677.24999999994</v>
      </c>
      <c r="DJ63" s="95">
        <v>0</v>
      </c>
      <c r="DK63" s="96">
        <v>384081.17</v>
      </c>
      <c r="DL63" s="96">
        <v>-57403.92</v>
      </c>
      <c r="DQ63" s="88">
        <v>3302420</v>
      </c>
      <c r="DT63" s="95">
        <f t="shared" si="2"/>
        <v>2446601.7999999998</v>
      </c>
      <c r="DU63" s="95">
        <f t="shared" si="3"/>
        <v>2369980.6899999995</v>
      </c>
      <c r="DV63" s="95">
        <f t="shared" si="4"/>
        <v>76621.110000000335</v>
      </c>
      <c r="DW63" s="95">
        <f t="shared" si="5"/>
        <v>26568.46</v>
      </c>
      <c r="DX63" s="95">
        <f t="shared" si="6"/>
        <v>25399</v>
      </c>
      <c r="DY63" s="95">
        <f t="shared" si="9"/>
        <v>1169.4599999999991</v>
      </c>
      <c r="EA63" s="95">
        <f t="shared" si="10"/>
        <v>307460.06</v>
      </c>
      <c r="EB63" s="95">
        <f t="shared" si="11"/>
        <v>76621.110000000335</v>
      </c>
      <c r="EC63" s="95">
        <f t="shared" si="12"/>
        <v>384081.17000000033</v>
      </c>
      <c r="ED63" s="95">
        <v>384081.17000000033</v>
      </c>
      <c r="EE63" s="95">
        <f t="shared" si="7"/>
        <v>0</v>
      </c>
      <c r="EF63" s="95"/>
      <c r="EG63" s="95">
        <f t="shared" si="13"/>
        <v>21010</v>
      </c>
      <c r="EH63" s="95">
        <f t="shared" si="16"/>
        <v>1169.4599999999991</v>
      </c>
      <c r="EI63" s="95">
        <f t="shared" si="14"/>
        <v>22179.46</v>
      </c>
      <c r="EJ63" s="97">
        <v>22179.46</v>
      </c>
      <c r="EK63" s="95">
        <f t="shared" si="15"/>
        <v>0</v>
      </c>
    </row>
    <row r="64" spans="1:141" s="87" customFormat="1" x14ac:dyDescent="0.35">
      <c r="A64" s="87" t="str">
        <f>_xlfn.XLOOKUP(C64,[1]Adjustment!B:B,[1]Adjustment!H:H,0,0)</f>
        <v>Agree</v>
      </c>
      <c r="B64" s="87">
        <v>2445</v>
      </c>
      <c r="C64" s="88">
        <v>3302445</v>
      </c>
      <c r="D64" s="98" t="s">
        <v>244</v>
      </c>
      <c r="E64" s="89" t="s">
        <v>245</v>
      </c>
      <c r="F64" s="101"/>
      <c r="G64" s="99"/>
      <c r="H64" s="88"/>
      <c r="I64" s="88"/>
      <c r="J64" s="88"/>
      <c r="K64" s="88"/>
      <c r="L64" s="88"/>
      <c r="M64" s="88"/>
      <c r="N64" s="88"/>
      <c r="O64" s="88"/>
      <c r="P64" s="88"/>
      <c r="Q64" s="88"/>
      <c r="R64" s="88"/>
      <c r="S64" s="92"/>
      <c r="T64" s="92"/>
      <c r="U64" s="92"/>
      <c r="V64" s="92"/>
      <c r="W64" s="92"/>
      <c r="X64" s="92"/>
      <c r="Y64" s="93">
        <v>2840.28</v>
      </c>
      <c r="Z64" s="93"/>
      <c r="AA64" s="93">
        <v>14033.14</v>
      </c>
      <c r="AB64" s="93">
        <v>1241781.03</v>
      </c>
      <c r="AC64" s="93">
        <v>0</v>
      </c>
      <c r="AD64" s="93">
        <v>43851.67</v>
      </c>
      <c r="AE64" s="93">
        <v>0</v>
      </c>
      <c r="AF64" s="93">
        <v>205156.5</v>
      </c>
      <c r="AG64" s="93">
        <v>800</v>
      </c>
      <c r="AH64" s="93">
        <v>0</v>
      </c>
      <c r="AI64" s="93">
        <v>0</v>
      </c>
      <c r="AJ64" s="93">
        <v>13976.6</v>
      </c>
      <c r="AK64" s="93">
        <v>0</v>
      </c>
      <c r="AL64" s="93">
        <v>0</v>
      </c>
      <c r="AM64" s="93">
        <v>0</v>
      </c>
      <c r="AN64" s="93">
        <v>2179</v>
      </c>
      <c r="AO64" s="93">
        <v>0</v>
      </c>
      <c r="AP64" s="93">
        <v>0</v>
      </c>
      <c r="AQ64" s="93">
        <v>0</v>
      </c>
      <c r="AR64" s="93">
        <v>0</v>
      </c>
      <c r="AS64" s="93">
        <v>0</v>
      </c>
      <c r="AT64" s="93">
        <v>0</v>
      </c>
      <c r="AU64" s="93">
        <v>25139.4</v>
      </c>
      <c r="AV64" s="93">
        <v>28454</v>
      </c>
      <c r="AW64" s="93">
        <v>564008.18000000028</v>
      </c>
      <c r="AX64" s="93">
        <v>0</v>
      </c>
      <c r="AY64" s="93">
        <v>280521.64</v>
      </c>
      <c r="AZ64" s="93">
        <v>37864.07</v>
      </c>
      <c r="BA64" s="93">
        <v>221667.36</v>
      </c>
      <c r="BB64" s="93">
        <v>0</v>
      </c>
      <c r="BC64" s="93">
        <v>67429.94</v>
      </c>
      <c r="BD64" s="93">
        <v>140</v>
      </c>
      <c r="BE64" s="93">
        <v>0</v>
      </c>
      <c r="BF64" s="93">
        <v>0</v>
      </c>
      <c r="BG64" s="93">
        <v>0</v>
      </c>
      <c r="BH64" s="93">
        <v>6560.3</v>
      </c>
      <c r="BI64" s="93">
        <v>0</v>
      </c>
      <c r="BJ64" s="93">
        <v>2522.37</v>
      </c>
      <c r="BK64" s="93">
        <v>4022.35</v>
      </c>
      <c r="BL64" s="93">
        <v>88690.92</v>
      </c>
      <c r="BM64" s="93">
        <v>0</v>
      </c>
      <c r="BN64" s="93">
        <v>2507.41</v>
      </c>
      <c r="BO64" s="93">
        <v>8994.2999999998392</v>
      </c>
      <c r="BP64" s="93">
        <v>0</v>
      </c>
      <c r="BQ64" s="93">
        <v>108.18</v>
      </c>
      <c r="BR64" s="93">
        <v>113009.57</v>
      </c>
      <c r="BS64" s="93">
        <v>4895</v>
      </c>
      <c r="BT64" s="93">
        <v>4953</v>
      </c>
      <c r="BU64" s="93">
        <v>94530.04</v>
      </c>
      <c r="BV64" s="93">
        <v>28620.3</v>
      </c>
      <c r="BW64" s="93">
        <v>0</v>
      </c>
      <c r="BX64" s="93">
        <v>35598.04</v>
      </c>
      <c r="BY64" s="93">
        <v>0</v>
      </c>
      <c r="BZ64" s="93">
        <v>0</v>
      </c>
      <c r="CA64" s="93"/>
      <c r="CB64" s="93">
        <v>0</v>
      </c>
      <c r="CC64" s="93">
        <v>0</v>
      </c>
      <c r="CD64" s="93">
        <v>6272.5</v>
      </c>
      <c r="CE64" s="93">
        <v>14082.21</v>
      </c>
      <c r="CF64" s="93">
        <v>0</v>
      </c>
      <c r="CG64" s="93">
        <v>0</v>
      </c>
      <c r="CH64" s="93">
        <v>0</v>
      </c>
      <c r="CI64" s="93">
        <v>0</v>
      </c>
      <c r="CJ64" s="93">
        <v>20273</v>
      </c>
      <c r="CK64" s="93"/>
      <c r="CL64" s="93">
        <v>-2464.4900000002235</v>
      </c>
      <c r="CM64" s="93"/>
      <c r="CN64" s="93">
        <v>14114.849999999999</v>
      </c>
      <c r="CO64" s="93">
        <v>0</v>
      </c>
      <c r="CP64" s="93">
        <v>0</v>
      </c>
      <c r="CQ64" s="93">
        <v>0</v>
      </c>
      <c r="CR64" s="100"/>
      <c r="CS64" s="95">
        <v>-48725.319999999861</v>
      </c>
      <c r="CT64" s="95">
        <v>0</v>
      </c>
      <c r="CU64" s="96">
        <v>-22023.89</v>
      </c>
      <c r="CV64" s="96">
        <v>-26701.43</v>
      </c>
      <c r="CW64" s="96">
        <v>-26701.429999999862</v>
      </c>
      <c r="CX64" s="95">
        <v>-26701.43</v>
      </c>
      <c r="CY64" s="95">
        <v>-48725.32</v>
      </c>
      <c r="CZ64" s="97">
        <v>14082.21</v>
      </c>
      <c r="DA64" s="95">
        <v>14082.21</v>
      </c>
      <c r="DB64" s="95">
        <v>0</v>
      </c>
      <c r="DC64" s="95">
        <v>-1.6007106751203537E-10</v>
      </c>
      <c r="DD64" s="96">
        <v>-26701.43</v>
      </c>
      <c r="DF64" s="95">
        <v>1.3824319466948509E-10</v>
      </c>
      <c r="DI64" s="95">
        <v>-48725.319999999861</v>
      </c>
      <c r="DJ64" s="95">
        <v>0</v>
      </c>
      <c r="DK64" s="96">
        <v>-22023.89</v>
      </c>
      <c r="DL64" s="96">
        <v>-26701.43</v>
      </c>
      <c r="DQ64" s="88">
        <v>3302445</v>
      </c>
      <c r="DT64" s="95">
        <f t="shared" si="2"/>
        <v>1561338.2</v>
      </c>
      <c r="DU64" s="95">
        <f t="shared" si="3"/>
        <v>1566642.9700000002</v>
      </c>
      <c r="DV64" s="95">
        <f t="shared" si="4"/>
        <v>-5304.7700000002515</v>
      </c>
      <c r="DW64" s="95">
        <f t="shared" si="5"/>
        <v>20354.71</v>
      </c>
      <c r="DX64" s="95">
        <f t="shared" si="6"/>
        <v>20273</v>
      </c>
      <c r="DY64" s="95">
        <f t="shared" si="9"/>
        <v>81.709999999999127</v>
      </c>
      <c r="EA64" s="95">
        <f t="shared" si="10"/>
        <v>2840.28</v>
      </c>
      <c r="EB64" s="95">
        <f t="shared" si="11"/>
        <v>-5304.7700000002515</v>
      </c>
      <c r="EC64" s="95">
        <f t="shared" si="12"/>
        <v>-2464.4900000002513</v>
      </c>
      <c r="ED64" s="95">
        <v>-2464.4900000002513</v>
      </c>
      <c r="EE64" s="95">
        <f t="shared" si="7"/>
        <v>0</v>
      </c>
      <c r="EF64" s="95"/>
      <c r="EG64" s="95">
        <f t="shared" si="13"/>
        <v>14033.14</v>
      </c>
      <c r="EH64" s="95">
        <f t="shared" si="16"/>
        <v>81.709999999999127</v>
      </c>
      <c r="EI64" s="95">
        <f t="shared" si="14"/>
        <v>14114.849999999999</v>
      </c>
      <c r="EJ64" s="97">
        <v>14114.849999999999</v>
      </c>
      <c r="EK64" s="95">
        <f t="shared" si="15"/>
        <v>0</v>
      </c>
    </row>
    <row r="65" spans="1:141" s="87" customFormat="1" x14ac:dyDescent="0.35">
      <c r="A65" s="87" t="str">
        <f>_xlfn.XLOOKUP(C65,[1]Adjustment!B:B,[1]Adjustment!H:H,0,0)</f>
        <v>Agree</v>
      </c>
      <c r="B65" s="87">
        <v>2454</v>
      </c>
      <c r="C65" s="88">
        <v>3302454</v>
      </c>
      <c r="D65" s="98" t="s">
        <v>246</v>
      </c>
      <c r="E65" s="89" t="s">
        <v>247</v>
      </c>
      <c r="F65" s="101"/>
      <c r="G65" s="99"/>
      <c r="H65" s="88"/>
      <c r="I65" s="88"/>
      <c r="J65" s="88"/>
      <c r="K65" s="88"/>
      <c r="L65" s="88"/>
      <c r="M65" s="88"/>
      <c r="N65" s="88"/>
      <c r="O65" s="88"/>
      <c r="P65" s="88"/>
      <c r="Q65" s="88"/>
      <c r="R65" s="88"/>
      <c r="S65" s="92"/>
      <c r="T65" s="92"/>
      <c r="U65" s="92"/>
      <c r="V65" s="92"/>
      <c r="W65" s="92"/>
      <c r="X65" s="92"/>
      <c r="Y65" s="93">
        <v>447207.93</v>
      </c>
      <c r="Z65" s="93"/>
      <c r="AA65" s="93">
        <v>24031.25</v>
      </c>
      <c r="AB65" s="93">
        <v>2187233.34</v>
      </c>
      <c r="AC65" s="93">
        <v>0</v>
      </c>
      <c r="AD65" s="93">
        <v>71494.67</v>
      </c>
      <c r="AE65" s="93">
        <v>0</v>
      </c>
      <c r="AF65" s="93">
        <v>331991</v>
      </c>
      <c r="AG65" s="93">
        <v>2400</v>
      </c>
      <c r="AH65" s="93">
        <v>0</v>
      </c>
      <c r="AI65" s="93">
        <v>0</v>
      </c>
      <c r="AJ65" s="93">
        <v>86738.450000000215</v>
      </c>
      <c r="AK65" s="93">
        <v>0</v>
      </c>
      <c r="AL65" s="93">
        <v>0</v>
      </c>
      <c r="AM65" s="93">
        <v>0</v>
      </c>
      <c r="AN65" s="93">
        <v>25985.06</v>
      </c>
      <c r="AO65" s="93">
        <v>0</v>
      </c>
      <c r="AP65" s="93">
        <v>0</v>
      </c>
      <c r="AQ65" s="93">
        <v>0</v>
      </c>
      <c r="AR65" s="93">
        <v>0</v>
      </c>
      <c r="AS65" s="93">
        <v>0</v>
      </c>
      <c r="AT65" s="93">
        <v>0</v>
      </c>
      <c r="AU65" s="93">
        <v>27117.919999999998</v>
      </c>
      <c r="AV65" s="93">
        <v>41535</v>
      </c>
      <c r="AW65" s="93">
        <v>1107564.7599999995</v>
      </c>
      <c r="AX65" s="93">
        <v>0</v>
      </c>
      <c r="AY65" s="93">
        <v>444524.95</v>
      </c>
      <c r="AZ65" s="93">
        <v>0</v>
      </c>
      <c r="BA65" s="93">
        <v>123885.42</v>
      </c>
      <c r="BB65" s="93">
        <v>0</v>
      </c>
      <c r="BC65" s="93">
        <v>52884.26</v>
      </c>
      <c r="BD65" s="93">
        <v>1834.36</v>
      </c>
      <c r="BE65" s="93">
        <v>11221.56</v>
      </c>
      <c r="BF65" s="93">
        <v>0</v>
      </c>
      <c r="BG65" s="93">
        <v>0</v>
      </c>
      <c r="BH65" s="93">
        <v>58268.03</v>
      </c>
      <c r="BI65" s="93">
        <v>3808.17</v>
      </c>
      <c r="BJ65" s="93">
        <v>80597.87</v>
      </c>
      <c r="BK65" s="93">
        <v>8207.17</v>
      </c>
      <c r="BL65" s="93">
        <v>53575.57</v>
      </c>
      <c r="BM65" s="93">
        <v>0</v>
      </c>
      <c r="BN65" s="93">
        <v>8338.49</v>
      </c>
      <c r="BO65" s="93">
        <v>136193.53</v>
      </c>
      <c r="BP65" s="93">
        <v>9706.1299999999992</v>
      </c>
      <c r="BQ65" s="93">
        <v>40.200000000000003</v>
      </c>
      <c r="BR65" s="93">
        <v>104835.87</v>
      </c>
      <c r="BS65" s="93">
        <v>9670</v>
      </c>
      <c r="BT65" s="93">
        <v>3945.6</v>
      </c>
      <c r="BU65" s="93">
        <v>122924.58</v>
      </c>
      <c r="BV65" s="93">
        <v>138847.47</v>
      </c>
      <c r="BW65" s="93">
        <v>0</v>
      </c>
      <c r="BX65" s="93">
        <v>230586.38</v>
      </c>
      <c r="BY65" s="93">
        <v>0</v>
      </c>
      <c r="BZ65" s="93">
        <v>0</v>
      </c>
      <c r="CA65" s="93"/>
      <c r="CB65" s="93">
        <v>0</v>
      </c>
      <c r="CC65" s="93">
        <v>0</v>
      </c>
      <c r="CD65" s="93">
        <v>7966.75</v>
      </c>
      <c r="CE65" s="93">
        <v>0</v>
      </c>
      <c r="CF65" s="93">
        <v>0</v>
      </c>
      <c r="CG65" s="93">
        <v>0</v>
      </c>
      <c r="CH65" s="93">
        <v>0</v>
      </c>
      <c r="CI65" s="93">
        <v>0</v>
      </c>
      <c r="CJ65" s="93">
        <v>23565</v>
      </c>
      <c r="CK65" s="93"/>
      <c r="CL65" s="93">
        <v>510243</v>
      </c>
      <c r="CM65" s="93"/>
      <c r="CN65" s="93">
        <v>8433</v>
      </c>
      <c r="CO65" s="93">
        <v>0</v>
      </c>
      <c r="CP65" s="93">
        <v>0</v>
      </c>
      <c r="CQ65" s="93">
        <v>0</v>
      </c>
      <c r="CR65" s="100"/>
      <c r="CS65" s="95">
        <v>494477.93999999977</v>
      </c>
      <c r="CT65" s="95">
        <v>25452.919999999995</v>
      </c>
      <c r="CU65" s="96">
        <v>494477.94</v>
      </c>
      <c r="CV65" s="96">
        <v>25452.92</v>
      </c>
      <c r="CW65" s="96">
        <v>0</v>
      </c>
      <c r="CX65" s="95">
        <v>0</v>
      </c>
      <c r="CY65" s="95">
        <v>519930.86</v>
      </c>
      <c r="CZ65" s="97">
        <v>41602.449999999997</v>
      </c>
      <c r="DA65" s="95">
        <v>41602.449999999997</v>
      </c>
      <c r="DB65" s="95">
        <v>1.9999999785795808E-2</v>
      </c>
      <c r="DC65" s="95">
        <v>0</v>
      </c>
      <c r="DD65" s="96"/>
      <c r="DF65" s="95">
        <v>-2.4738255888223648E-10</v>
      </c>
      <c r="DI65" s="95">
        <v>494477.93999999977</v>
      </c>
      <c r="DJ65" s="95">
        <v>25452.919999999995</v>
      </c>
      <c r="DK65" s="96">
        <v>494477.94</v>
      </c>
      <c r="DL65" s="96">
        <v>25452.92</v>
      </c>
      <c r="DQ65" s="88">
        <v>3302454</v>
      </c>
      <c r="DT65" s="95">
        <f t="shared" si="2"/>
        <v>2774495.44</v>
      </c>
      <c r="DU65" s="95">
        <f t="shared" si="3"/>
        <v>2711460.37</v>
      </c>
      <c r="DV65" s="95">
        <f t="shared" si="4"/>
        <v>63035.069999999832</v>
      </c>
      <c r="DW65" s="95">
        <f t="shared" si="5"/>
        <v>7966.75</v>
      </c>
      <c r="DX65" s="95">
        <f t="shared" si="6"/>
        <v>23565</v>
      </c>
      <c r="DY65" s="95">
        <f t="shared" si="9"/>
        <v>-15598.25</v>
      </c>
      <c r="EA65" s="95">
        <f t="shared" si="10"/>
        <v>447207.93</v>
      </c>
      <c r="EB65" s="95">
        <f t="shared" si="11"/>
        <v>63035.069999999832</v>
      </c>
      <c r="EC65" s="95">
        <f t="shared" si="12"/>
        <v>510242.99999999983</v>
      </c>
      <c r="ED65" s="95">
        <v>510242.99999999983</v>
      </c>
      <c r="EE65" s="95">
        <f t="shared" si="7"/>
        <v>0</v>
      </c>
      <c r="EF65" s="95"/>
      <c r="EG65" s="95">
        <f t="shared" si="13"/>
        <v>24031.25</v>
      </c>
      <c r="EH65" s="95">
        <f t="shared" si="16"/>
        <v>-15598.25</v>
      </c>
      <c r="EI65" s="95">
        <f t="shared" si="14"/>
        <v>8433</v>
      </c>
      <c r="EJ65" s="97">
        <v>8433</v>
      </c>
      <c r="EK65" s="95">
        <f t="shared" si="15"/>
        <v>0</v>
      </c>
    </row>
    <row r="66" spans="1:141" s="87" customFormat="1" x14ac:dyDescent="0.35">
      <c r="A66" s="87" t="str">
        <f>_xlfn.XLOOKUP(C66,[1]Adjustment!B:B,[1]Adjustment!H:H,0,0)</f>
        <v>Agree</v>
      </c>
      <c r="B66" s="87">
        <v>2456</v>
      </c>
      <c r="C66" s="88">
        <v>3302456</v>
      </c>
      <c r="D66" s="98" t="s">
        <v>248</v>
      </c>
      <c r="E66" s="89" t="s">
        <v>249</v>
      </c>
      <c r="F66" s="101"/>
      <c r="G66" s="99"/>
      <c r="H66" s="88"/>
      <c r="I66" s="88"/>
      <c r="J66" s="88"/>
      <c r="K66" s="88"/>
      <c r="L66" s="88"/>
      <c r="M66" s="88"/>
      <c r="N66" s="88"/>
      <c r="O66" s="88"/>
      <c r="P66" s="88"/>
      <c r="Q66" s="88"/>
      <c r="R66" s="88"/>
      <c r="S66" s="92"/>
      <c r="T66" s="92"/>
      <c r="U66" s="92"/>
      <c r="V66" s="92"/>
      <c r="W66" s="92"/>
      <c r="X66" s="92"/>
      <c r="Y66" s="93">
        <v>48547</v>
      </c>
      <c r="Z66" s="93"/>
      <c r="AA66" s="93">
        <v>21154</v>
      </c>
      <c r="AB66" s="93">
        <v>1209500.26</v>
      </c>
      <c r="AC66" s="93">
        <v>0</v>
      </c>
      <c r="AD66" s="93">
        <v>52265</v>
      </c>
      <c r="AE66" s="93">
        <v>0</v>
      </c>
      <c r="AF66" s="93">
        <v>127280</v>
      </c>
      <c r="AG66" s="93">
        <v>7436.93</v>
      </c>
      <c r="AH66" s="93">
        <v>0</v>
      </c>
      <c r="AI66" s="93">
        <v>0</v>
      </c>
      <c r="AJ66" s="93">
        <v>71929.420000000056</v>
      </c>
      <c r="AK66" s="93">
        <v>0</v>
      </c>
      <c r="AL66" s="93">
        <v>0</v>
      </c>
      <c r="AM66" s="93">
        <v>0</v>
      </c>
      <c r="AN66" s="93">
        <v>11161.19</v>
      </c>
      <c r="AO66" s="93">
        <v>0</v>
      </c>
      <c r="AP66" s="93">
        <v>0</v>
      </c>
      <c r="AQ66" s="93">
        <v>0</v>
      </c>
      <c r="AR66" s="93">
        <v>0</v>
      </c>
      <c r="AS66" s="93">
        <v>0</v>
      </c>
      <c r="AT66" s="93">
        <v>0</v>
      </c>
      <c r="AU66" s="93">
        <v>7461.5</v>
      </c>
      <c r="AV66" s="93">
        <v>44938</v>
      </c>
      <c r="AW66" s="93">
        <v>675707.0900000002</v>
      </c>
      <c r="AX66" s="93">
        <v>0</v>
      </c>
      <c r="AY66" s="93">
        <v>206643.79</v>
      </c>
      <c r="AZ66" s="93">
        <v>65300.91</v>
      </c>
      <c r="BA66" s="93">
        <v>217919.01</v>
      </c>
      <c r="BB66" s="93">
        <v>0</v>
      </c>
      <c r="BC66" s="93">
        <v>13017.14</v>
      </c>
      <c r="BD66" s="93">
        <v>0</v>
      </c>
      <c r="BE66" s="93">
        <v>2832.95</v>
      </c>
      <c r="BF66" s="93">
        <v>0</v>
      </c>
      <c r="BG66" s="93">
        <v>0</v>
      </c>
      <c r="BH66" s="93">
        <v>9983.7900000000009</v>
      </c>
      <c r="BI66" s="93">
        <v>457.79</v>
      </c>
      <c r="BJ66" s="93">
        <v>1111.05</v>
      </c>
      <c r="BK66" s="93">
        <v>4560.72</v>
      </c>
      <c r="BL66" s="93">
        <v>54148.82</v>
      </c>
      <c r="BM66" s="93">
        <v>0</v>
      </c>
      <c r="BN66" s="93">
        <v>10316.93</v>
      </c>
      <c r="BO66" s="93">
        <v>65132.94</v>
      </c>
      <c r="BP66" s="93">
        <v>40546.699999999997</v>
      </c>
      <c r="BQ66" s="93">
        <v>15743.02</v>
      </c>
      <c r="BR66" s="93">
        <v>36319.72</v>
      </c>
      <c r="BS66" s="93">
        <v>5545</v>
      </c>
      <c r="BT66" s="93">
        <v>2040</v>
      </c>
      <c r="BU66" s="93">
        <v>28487.86</v>
      </c>
      <c r="BV66" s="93">
        <v>0</v>
      </c>
      <c r="BW66" s="93">
        <v>56576</v>
      </c>
      <c r="BX66" s="93">
        <v>175355.45</v>
      </c>
      <c r="BY66" s="93">
        <v>0</v>
      </c>
      <c r="BZ66" s="93">
        <v>0</v>
      </c>
      <c r="CA66" s="93"/>
      <c r="CB66" s="93">
        <v>0</v>
      </c>
      <c r="CC66" s="93">
        <v>0</v>
      </c>
      <c r="CD66" s="93">
        <v>6283.75</v>
      </c>
      <c r="CE66" s="93">
        <v>0</v>
      </c>
      <c r="CF66" s="93">
        <v>0</v>
      </c>
      <c r="CG66" s="93">
        <v>0</v>
      </c>
      <c r="CH66" s="93">
        <v>0</v>
      </c>
      <c r="CI66" s="93">
        <v>2945</v>
      </c>
      <c r="CJ66" s="93">
        <v>0</v>
      </c>
      <c r="CK66" s="93"/>
      <c r="CL66" s="93">
        <v>-107227.38000000012</v>
      </c>
      <c r="CM66" s="93"/>
      <c r="CN66" s="93">
        <v>24492.75</v>
      </c>
      <c r="CO66" s="93">
        <v>0</v>
      </c>
      <c r="CP66" s="93">
        <v>0</v>
      </c>
      <c r="CQ66" s="93">
        <v>0</v>
      </c>
      <c r="CR66" s="100"/>
      <c r="CS66" s="95">
        <v>-116105.62999999989</v>
      </c>
      <c r="CT66" s="95">
        <v>0</v>
      </c>
      <c r="CU66" s="96">
        <v>-107227.38</v>
      </c>
      <c r="CV66" s="96">
        <v>-8878.25</v>
      </c>
      <c r="CW66" s="96">
        <v>-8878.2499999998836</v>
      </c>
      <c r="CX66" s="95">
        <v>-8878.25</v>
      </c>
      <c r="CY66" s="95">
        <v>-116105.63</v>
      </c>
      <c r="CZ66" s="97">
        <v>0</v>
      </c>
      <c r="DA66" s="95">
        <v>0</v>
      </c>
      <c r="DB66" s="95">
        <v>15784.319999999949</v>
      </c>
      <c r="DC66" s="95">
        <v>0</v>
      </c>
      <c r="DD66" s="96">
        <v>-8878.25</v>
      </c>
      <c r="DF66" s="95">
        <v>1.1641532182693481E-10</v>
      </c>
      <c r="DI66" s="95">
        <v>-116105.62999999989</v>
      </c>
      <c r="DJ66" s="95">
        <v>0</v>
      </c>
      <c r="DK66" s="96">
        <v>-107227.38</v>
      </c>
      <c r="DL66" s="96">
        <v>-8878.25</v>
      </c>
      <c r="DQ66" s="88">
        <v>3302456</v>
      </c>
      <c r="DT66" s="95">
        <f t="shared" si="2"/>
        <v>1531972.3</v>
      </c>
      <c r="DU66" s="95">
        <f t="shared" si="3"/>
        <v>1687746.6800000002</v>
      </c>
      <c r="DV66" s="95">
        <f t="shared" si="4"/>
        <v>-155774.38000000012</v>
      </c>
      <c r="DW66" s="95">
        <f t="shared" si="5"/>
        <v>6283.75</v>
      </c>
      <c r="DX66" s="95">
        <f t="shared" si="6"/>
        <v>2945</v>
      </c>
      <c r="DY66" s="95">
        <f t="shared" si="9"/>
        <v>3338.75</v>
      </c>
      <c r="EA66" s="95">
        <f t="shared" si="10"/>
        <v>48547</v>
      </c>
      <c r="EB66" s="95">
        <f t="shared" si="11"/>
        <v>-155774.38000000012</v>
      </c>
      <c r="EC66" s="95">
        <f t="shared" si="12"/>
        <v>-107227.38000000012</v>
      </c>
      <c r="ED66" s="95">
        <v>-107227.38000000012</v>
      </c>
      <c r="EE66" s="95">
        <f t="shared" si="7"/>
        <v>0</v>
      </c>
      <c r="EF66" s="95"/>
      <c r="EG66" s="95">
        <f t="shared" si="13"/>
        <v>21154</v>
      </c>
      <c r="EH66" s="95">
        <f t="shared" si="16"/>
        <v>3338.75</v>
      </c>
      <c r="EI66" s="95">
        <f t="shared" si="14"/>
        <v>24492.75</v>
      </c>
      <c r="EJ66" s="97">
        <v>24492.75</v>
      </c>
      <c r="EK66" s="95">
        <f t="shared" si="15"/>
        <v>0</v>
      </c>
    </row>
    <row r="67" spans="1:141" s="102" customFormat="1" x14ac:dyDescent="0.35">
      <c r="A67" s="102" t="str">
        <f>_xlfn.XLOOKUP(C67,[1]Adjustment!B:B,[1]Adjustment!H:H,0,0)</f>
        <v>Agree</v>
      </c>
      <c r="B67" s="87">
        <v>2457</v>
      </c>
      <c r="C67" s="103">
        <v>3302457</v>
      </c>
      <c r="D67" s="104" t="s">
        <v>250</v>
      </c>
      <c r="E67" s="105" t="s">
        <v>251</v>
      </c>
      <c r="F67" s="106"/>
      <c r="G67" s="107"/>
      <c r="H67" s="103"/>
      <c r="I67" s="103"/>
      <c r="J67" s="103"/>
      <c r="K67" s="103"/>
      <c r="L67" s="103"/>
      <c r="M67" s="103"/>
      <c r="N67" s="103"/>
      <c r="O67" s="103"/>
      <c r="P67" s="103"/>
      <c r="Q67" s="103"/>
      <c r="R67" s="103"/>
      <c r="S67" s="108"/>
      <c r="T67" s="108"/>
      <c r="U67" s="108"/>
      <c r="V67" s="108"/>
      <c r="W67" s="108"/>
      <c r="X67" s="108"/>
      <c r="Y67" s="109">
        <v>869405</v>
      </c>
      <c r="Z67" s="109"/>
      <c r="AA67" s="109">
        <v>18136.25</v>
      </c>
      <c r="AB67" s="109">
        <v>2407136.7200000002</v>
      </c>
      <c r="AC67" s="109">
        <v>0</v>
      </c>
      <c r="AD67" s="109">
        <v>260161.29</v>
      </c>
      <c r="AE67" s="109">
        <v>0</v>
      </c>
      <c r="AF67" s="109">
        <v>242985.5</v>
      </c>
      <c r="AG67" s="109">
        <v>800</v>
      </c>
      <c r="AH67" s="109">
        <v>0</v>
      </c>
      <c r="AI67" s="109">
        <v>0</v>
      </c>
      <c r="AJ67" s="109">
        <v>64172.660000000455</v>
      </c>
      <c r="AK67" s="109">
        <v>0</v>
      </c>
      <c r="AL67" s="109">
        <v>0</v>
      </c>
      <c r="AM67" s="109">
        <v>0</v>
      </c>
      <c r="AN67" s="109">
        <v>5534.03</v>
      </c>
      <c r="AO67" s="109">
        <v>0</v>
      </c>
      <c r="AP67" s="109">
        <v>0</v>
      </c>
      <c r="AQ67" s="109">
        <v>0</v>
      </c>
      <c r="AR67" s="109">
        <v>0</v>
      </c>
      <c r="AS67" s="109">
        <v>0</v>
      </c>
      <c r="AT67" s="109">
        <v>0</v>
      </c>
      <c r="AU67" s="109">
        <v>22228.44</v>
      </c>
      <c r="AV67" s="109">
        <v>76821</v>
      </c>
      <c r="AW67" s="109">
        <v>1336436.2800000003</v>
      </c>
      <c r="AX67" s="109">
        <v>5251.25</v>
      </c>
      <c r="AY67" s="109">
        <v>501284.94</v>
      </c>
      <c r="AZ67" s="109">
        <v>77260.88</v>
      </c>
      <c r="BA67" s="109">
        <v>219585.78</v>
      </c>
      <c r="BB67" s="109">
        <v>0</v>
      </c>
      <c r="BC67" s="109">
        <v>50962.62</v>
      </c>
      <c r="BD67" s="109">
        <v>337.7</v>
      </c>
      <c r="BE67" s="109">
        <v>15470.62</v>
      </c>
      <c r="BF67" s="109">
        <v>0</v>
      </c>
      <c r="BG67" s="109">
        <v>0</v>
      </c>
      <c r="BH67" s="109">
        <v>24696.18</v>
      </c>
      <c r="BI67" s="109">
        <v>629.94000000000005</v>
      </c>
      <c r="BJ67" s="109">
        <v>11107.53</v>
      </c>
      <c r="BK67" s="109">
        <v>2454.4299999999998</v>
      </c>
      <c r="BL67" s="109">
        <v>56673.1</v>
      </c>
      <c r="BM67" s="109">
        <v>0</v>
      </c>
      <c r="BN67" s="109">
        <v>58537.279999999999</v>
      </c>
      <c r="BO67" s="109">
        <v>10112.290000000001</v>
      </c>
      <c r="BP67" s="109">
        <v>2287.38</v>
      </c>
      <c r="BQ67" s="109">
        <v>5130</v>
      </c>
      <c r="BR67" s="109">
        <v>32331.71</v>
      </c>
      <c r="BS67" s="109">
        <v>4895</v>
      </c>
      <c r="BT67" s="109">
        <v>4185</v>
      </c>
      <c r="BU67" s="109">
        <v>220041.97</v>
      </c>
      <c r="BV67" s="109">
        <v>134376.43</v>
      </c>
      <c r="BW67" s="109">
        <v>79404.37</v>
      </c>
      <c r="BX67" s="109">
        <v>120650.06</v>
      </c>
      <c r="BY67" s="109">
        <v>0</v>
      </c>
      <c r="BZ67" s="109">
        <v>0</v>
      </c>
      <c r="CA67" s="109">
        <v>143.5</v>
      </c>
      <c r="CB67" s="109">
        <v>0</v>
      </c>
      <c r="CC67" s="109">
        <v>0</v>
      </c>
      <c r="CD67" s="109">
        <v>9114.25</v>
      </c>
      <c r="CE67" s="109">
        <v>0</v>
      </c>
      <c r="CF67" s="109">
        <v>143.5</v>
      </c>
      <c r="CG67" s="109">
        <v>0</v>
      </c>
      <c r="CH67" s="109">
        <v>0</v>
      </c>
      <c r="CI67" s="109">
        <v>27394</v>
      </c>
      <c r="CJ67" s="109">
        <v>0</v>
      </c>
      <c r="CK67" s="109"/>
      <c r="CL67" s="109">
        <v>974998.39999999991</v>
      </c>
      <c r="CM67" s="109"/>
      <c r="CN67" s="93">
        <v>0</v>
      </c>
      <c r="CO67" s="109">
        <v>0</v>
      </c>
      <c r="CP67" s="109">
        <v>0</v>
      </c>
      <c r="CQ67" s="109">
        <v>0</v>
      </c>
      <c r="CR67" s="110"/>
      <c r="CS67" s="111">
        <v>995144.49000000022</v>
      </c>
      <c r="CT67" s="111">
        <v>0</v>
      </c>
      <c r="CU67" s="112">
        <v>1013280.74</v>
      </c>
      <c r="CV67" s="112">
        <v>-18136.25</v>
      </c>
      <c r="CW67" s="112">
        <v>-18136.249999999767</v>
      </c>
      <c r="CX67" s="111">
        <v>-18136.25</v>
      </c>
      <c r="CY67" s="111">
        <v>995144.49</v>
      </c>
      <c r="CZ67" s="113">
        <v>0</v>
      </c>
      <c r="DA67" s="111">
        <v>0</v>
      </c>
      <c r="DB67" s="111">
        <v>39388.009999999544</v>
      </c>
      <c r="DC67" s="111">
        <v>0</v>
      </c>
      <c r="DD67" s="112">
        <v>-18136.25</v>
      </c>
      <c r="DF67" s="111">
        <v>2.3283064365386963E-10</v>
      </c>
      <c r="DI67" s="111">
        <v>995144.49000000022</v>
      </c>
      <c r="DJ67" s="111">
        <v>0</v>
      </c>
      <c r="DK67" s="112">
        <v>1013280.74</v>
      </c>
      <c r="DL67" s="112">
        <v>-18136.25</v>
      </c>
      <c r="DQ67" s="103">
        <v>3302457</v>
      </c>
      <c r="DT67" s="111">
        <f t="shared" si="2"/>
        <v>3079839.6400000006</v>
      </c>
      <c r="DU67" s="111">
        <f t="shared" si="3"/>
        <v>2974246.2400000007</v>
      </c>
      <c r="DV67" s="111">
        <f t="shared" si="4"/>
        <v>105593.39999999991</v>
      </c>
      <c r="DW67" s="111">
        <f t="shared" si="5"/>
        <v>9257.75</v>
      </c>
      <c r="DX67" s="111">
        <f t="shared" si="6"/>
        <v>27394</v>
      </c>
      <c r="DY67" s="111">
        <f t="shared" si="9"/>
        <v>-18136.25</v>
      </c>
      <c r="EA67" s="111">
        <f t="shared" si="10"/>
        <v>869405</v>
      </c>
      <c r="EB67" s="111">
        <f t="shared" si="11"/>
        <v>105593.39999999991</v>
      </c>
      <c r="EC67" s="111">
        <f t="shared" si="12"/>
        <v>974998.39999999991</v>
      </c>
      <c r="ED67" s="111">
        <v>974998.39999999991</v>
      </c>
      <c r="EE67" s="111">
        <f t="shared" si="7"/>
        <v>0</v>
      </c>
      <c r="EF67" s="111"/>
      <c r="EG67" s="111">
        <f t="shared" si="13"/>
        <v>18136.25</v>
      </c>
      <c r="EH67" s="111">
        <f t="shared" si="16"/>
        <v>-18136.25</v>
      </c>
      <c r="EI67" s="111">
        <f t="shared" si="14"/>
        <v>0</v>
      </c>
      <c r="EJ67" s="113">
        <v>0</v>
      </c>
      <c r="EK67" s="111">
        <f t="shared" si="15"/>
        <v>0</v>
      </c>
    </row>
    <row r="68" spans="1:141" s="87" customFormat="1" x14ac:dyDescent="0.35">
      <c r="A68" s="87" t="str">
        <f>_xlfn.XLOOKUP(C68,[1]Adjustment!B:B,[1]Adjustment!H:H,0,0)</f>
        <v>Agree</v>
      </c>
      <c r="B68" s="87">
        <v>2462</v>
      </c>
      <c r="C68" s="88">
        <v>3302462</v>
      </c>
      <c r="D68" s="98" t="s">
        <v>252</v>
      </c>
      <c r="E68" s="89" t="s">
        <v>253</v>
      </c>
      <c r="F68" s="101"/>
      <c r="G68" s="99"/>
      <c r="H68" s="88"/>
      <c r="I68" s="88"/>
      <c r="J68" s="88"/>
      <c r="K68" s="88"/>
      <c r="L68" s="88"/>
      <c r="M68" s="88"/>
      <c r="N68" s="88"/>
      <c r="O68" s="88"/>
      <c r="P68" s="88"/>
      <c r="Q68" s="88"/>
      <c r="R68" s="88"/>
      <c r="S68" s="92"/>
      <c r="T68" s="92"/>
      <c r="U68" s="92"/>
      <c r="V68" s="92"/>
      <c r="W68" s="92"/>
      <c r="X68" s="92"/>
      <c r="Y68" s="93">
        <v>710513.76</v>
      </c>
      <c r="Z68" s="93"/>
      <c r="AA68" s="93">
        <v>6035</v>
      </c>
      <c r="AB68" s="93">
        <v>1924341.52</v>
      </c>
      <c r="AC68" s="93">
        <v>0</v>
      </c>
      <c r="AD68" s="93">
        <v>3120</v>
      </c>
      <c r="AE68" s="93">
        <v>0</v>
      </c>
      <c r="AF68" s="93">
        <v>49045</v>
      </c>
      <c r="AG68" s="93">
        <v>7180</v>
      </c>
      <c r="AH68" s="93">
        <v>0</v>
      </c>
      <c r="AI68" s="93">
        <v>0</v>
      </c>
      <c r="AJ68" s="93">
        <v>919709.33</v>
      </c>
      <c r="AK68" s="93">
        <v>79689.06</v>
      </c>
      <c r="AL68" s="93">
        <v>0</v>
      </c>
      <c r="AM68" s="93">
        <v>0</v>
      </c>
      <c r="AN68" s="93">
        <v>69651.59</v>
      </c>
      <c r="AO68" s="93">
        <v>8562.94</v>
      </c>
      <c r="AP68" s="93">
        <v>0</v>
      </c>
      <c r="AQ68" s="93">
        <v>0</v>
      </c>
      <c r="AR68" s="93">
        <v>0</v>
      </c>
      <c r="AS68" s="93">
        <v>0</v>
      </c>
      <c r="AT68" s="93">
        <v>0</v>
      </c>
      <c r="AU68" s="93">
        <v>7528.13</v>
      </c>
      <c r="AV68" s="93">
        <v>98524</v>
      </c>
      <c r="AW68" s="93">
        <v>1232041.0400000005</v>
      </c>
      <c r="AX68" s="93">
        <v>0</v>
      </c>
      <c r="AY68" s="93">
        <v>320905.69</v>
      </c>
      <c r="AZ68" s="93">
        <v>16196.61</v>
      </c>
      <c r="BA68" s="93">
        <v>151735.59</v>
      </c>
      <c r="BB68" s="93">
        <v>0</v>
      </c>
      <c r="BC68" s="93">
        <v>145199.09</v>
      </c>
      <c r="BD68" s="93">
        <v>40411.99</v>
      </c>
      <c r="BE68" s="93">
        <v>7111.13</v>
      </c>
      <c r="BF68" s="93">
        <v>0</v>
      </c>
      <c r="BG68" s="93">
        <v>0</v>
      </c>
      <c r="BH68" s="93">
        <v>19245.2</v>
      </c>
      <c r="BI68" s="93">
        <v>4727.72</v>
      </c>
      <c r="BJ68" s="93">
        <v>47191</v>
      </c>
      <c r="BK68" s="93">
        <v>2425.71</v>
      </c>
      <c r="BL68" s="93">
        <v>59345.18</v>
      </c>
      <c r="BM68" s="93">
        <v>30873.599999999999</v>
      </c>
      <c r="BN68" s="93">
        <v>5929.81</v>
      </c>
      <c r="BO68" s="93">
        <v>88695.359999999724</v>
      </c>
      <c r="BP68" s="93">
        <v>16822.91</v>
      </c>
      <c r="BQ68" s="93">
        <v>0</v>
      </c>
      <c r="BR68" s="93">
        <v>457902.09</v>
      </c>
      <c r="BS68" s="93">
        <v>4895</v>
      </c>
      <c r="BT68" s="93">
        <v>2520.8000000000002</v>
      </c>
      <c r="BU68" s="93">
        <v>187638.31</v>
      </c>
      <c r="BV68" s="93">
        <v>28788.25</v>
      </c>
      <c r="BW68" s="93">
        <v>0</v>
      </c>
      <c r="BX68" s="93">
        <v>276484.03999999998</v>
      </c>
      <c r="BY68" s="93">
        <v>0</v>
      </c>
      <c r="BZ68" s="93">
        <v>0</v>
      </c>
      <c r="CA68" s="93"/>
      <c r="CB68" s="93">
        <v>0</v>
      </c>
      <c r="CC68" s="93">
        <v>0</v>
      </c>
      <c r="CD68" s="93">
        <v>8770</v>
      </c>
      <c r="CE68" s="93">
        <v>0</v>
      </c>
      <c r="CF68" s="93">
        <v>0</v>
      </c>
      <c r="CG68" s="93">
        <v>0</v>
      </c>
      <c r="CH68" s="93">
        <v>0</v>
      </c>
      <c r="CI68" s="93">
        <v>0</v>
      </c>
      <c r="CJ68" s="93">
        <v>0</v>
      </c>
      <c r="CK68" s="93"/>
      <c r="CL68" s="93">
        <v>730779.21</v>
      </c>
      <c r="CM68" s="93"/>
      <c r="CN68" s="93">
        <v>14805</v>
      </c>
      <c r="CO68" s="93">
        <v>0</v>
      </c>
      <c r="CP68" s="93">
        <v>0</v>
      </c>
      <c r="CQ68" s="93">
        <v>0</v>
      </c>
      <c r="CR68" s="100"/>
      <c r="CS68" s="95">
        <v>730779.2100000002</v>
      </c>
      <c r="CT68" s="95">
        <v>46598.44</v>
      </c>
      <c r="CU68" s="96">
        <v>730779.21</v>
      </c>
      <c r="CV68" s="96">
        <v>46598.44</v>
      </c>
      <c r="CW68" s="96">
        <v>0</v>
      </c>
      <c r="CX68" s="95">
        <v>0</v>
      </c>
      <c r="CY68" s="95">
        <v>777377.64999999991</v>
      </c>
      <c r="CZ68" s="97">
        <v>-42192.41</v>
      </c>
      <c r="DA68" s="95">
        <v>-42192.41</v>
      </c>
      <c r="DB68" s="95">
        <v>0</v>
      </c>
      <c r="DC68" s="95">
        <v>-4.0000000270083547E-2</v>
      </c>
      <c r="DD68" s="96"/>
      <c r="DF68" s="95">
        <v>1.7462298274040222E-10</v>
      </c>
      <c r="DI68" s="95">
        <v>730779.2100000002</v>
      </c>
      <c r="DJ68" s="95">
        <v>46598.44</v>
      </c>
      <c r="DK68" s="96">
        <v>730779.21</v>
      </c>
      <c r="DL68" s="96">
        <v>46598.44</v>
      </c>
      <c r="DQ68" s="88">
        <v>3302462</v>
      </c>
      <c r="DT68" s="95">
        <f t="shared" si="2"/>
        <v>3167351.57</v>
      </c>
      <c r="DU68" s="95">
        <f t="shared" si="3"/>
        <v>3147086.12</v>
      </c>
      <c r="DV68" s="95">
        <f t="shared" si="4"/>
        <v>20265.449999999721</v>
      </c>
      <c r="DW68" s="95">
        <f t="shared" si="5"/>
        <v>8770</v>
      </c>
      <c r="DX68" s="95">
        <f t="shared" si="6"/>
        <v>0</v>
      </c>
      <c r="DY68" s="95">
        <f t="shared" si="9"/>
        <v>8770</v>
      </c>
      <c r="EA68" s="95">
        <f t="shared" si="10"/>
        <v>710513.76</v>
      </c>
      <c r="EB68" s="95">
        <f t="shared" si="11"/>
        <v>20265.449999999721</v>
      </c>
      <c r="EC68" s="95">
        <f t="shared" si="12"/>
        <v>730779.20999999973</v>
      </c>
      <c r="ED68" s="95">
        <v>730779.20999999973</v>
      </c>
      <c r="EE68" s="95">
        <f t="shared" si="7"/>
        <v>0</v>
      </c>
      <c r="EF68" s="95"/>
      <c r="EG68" s="95">
        <f t="shared" si="13"/>
        <v>6035</v>
      </c>
      <c r="EH68" s="95">
        <f t="shared" si="16"/>
        <v>8770</v>
      </c>
      <c r="EI68" s="95">
        <f t="shared" si="14"/>
        <v>14805</v>
      </c>
      <c r="EJ68" s="97">
        <v>14805</v>
      </c>
      <c r="EK68" s="95">
        <f t="shared" si="15"/>
        <v>0</v>
      </c>
    </row>
    <row r="69" spans="1:141" s="87" customFormat="1" x14ac:dyDescent="0.35">
      <c r="A69" s="87" t="str">
        <f>_xlfn.XLOOKUP(C69,[1]Adjustment!B:B,[1]Adjustment!H:H,0,0)</f>
        <v>Agree</v>
      </c>
      <c r="B69" s="87">
        <v>2466</v>
      </c>
      <c r="C69" s="88">
        <v>3302466</v>
      </c>
      <c r="D69" s="98" t="s">
        <v>254</v>
      </c>
      <c r="E69" s="89" t="s">
        <v>255</v>
      </c>
      <c r="F69" s="101"/>
      <c r="G69" s="99"/>
      <c r="H69" s="88"/>
      <c r="I69" s="88"/>
      <c r="J69" s="88"/>
      <c r="K69" s="88"/>
      <c r="L69" s="88"/>
      <c r="M69" s="88"/>
      <c r="N69" s="88"/>
      <c r="O69" s="88"/>
      <c r="P69" s="88"/>
      <c r="Q69" s="88"/>
      <c r="R69" s="88"/>
      <c r="S69" s="92"/>
      <c r="T69" s="92"/>
      <c r="U69" s="92"/>
      <c r="V69" s="92"/>
      <c r="W69" s="92"/>
      <c r="X69" s="92"/>
      <c r="Y69" s="93">
        <v>723735.56</v>
      </c>
      <c r="Z69" s="93"/>
      <c r="AA69" s="93">
        <v>47566</v>
      </c>
      <c r="AB69" s="93">
        <v>3504195.75</v>
      </c>
      <c r="AC69" s="93">
        <v>0</v>
      </c>
      <c r="AD69" s="93">
        <v>65990.350000000006</v>
      </c>
      <c r="AE69" s="93">
        <v>0</v>
      </c>
      <c r="AF69" s="93">
        <v>384120</v>
      </c>
      <c r="AG69" s="93">
        <v>1713.86</v>
      </c>
      <c r="AH69" s="93">
        <v>0</v>
      </c>
      <c r="AI69" s="93">
        <v>0</v>
      </c>
      <c r="AJ69" s="93">
        <v>43902.85</v>
      </c>
      <c r="AK69" s="93">
        <v>0</v>
      </c>
      <c r="AL69" s="93">
        <v>0</v>
      </c>
      <c r="AM69" s="93">
        <v>0</v>
      </c>
      <c r="AN69" s="93">
        <v>14967.46</v>
      </c>
      <c r="AO69" s="93">
        <v>0</v>
      </c>
      <c r="AP69" s="93">
        <v>0</v>
      </c>
      <c r="AQ69" s="93">
        <v>0</v>
      </c>
      <c r="AR69" s="93">
        <v>0</v>
      </c>
      <c r="AS69" s="93">
        <v>0</v>
      </c>
      <c r="AT69" s="93">
        <v>0</v>
      </c>
      <c r="AU69" s="93">
        <v>45662.47</v>
      </c>
      <c r="AV69" s="93">
        <v>83595</v>
      </c>
      <c r="AW69" s="93">
        <v>1626207.0899999999</v>
      </c>
      <c r="AX69" s="93">
        <v>0</v>
      </c>
      <c r="AY69" s="93">
        <v>313745.67</v>
      </c>
      <c r="AZ69" s="93">
        <v>303631.15999999997</v>
      </c>
      <c r="BA69" s="93">
        <v>146846.1</v>
      </c>
      <c r="BB69" s="93">
        <v>69440.789999999994</v>
      </c>
      <c r="BC69" s="93">
        <v>119996.31</v>
      </c>
      <c r="BD69" s="93">
        <v>1906.95</v>
      </c>
      <c r="BE69" s="93">
        <v>929.17</v>
      </c>
      <c r="BF69" s="93">
        <v>0</v>
      </c>
      <c r="BG69" s="93">
        <v>0</v>
      </c>
      <c r="BH69" s="93">
        <v>96544.73</v>
      </c>
      <c r="BI69" s="93">
        <v>18426.099999999999</v>
      </c>
      <c r="BJ69" s="93">
        <v>12527.47</v>
      </c>
      <c r="BK69" s="93">
        <v>13684.68</v>
      </c>
      <c r="BL69" s="93">
        <v>138698.96</v>
      </c>
      <c r="BM69" s="93">
        <v>0</v>
      </c>
      <c r="BN69" s="93">
        <v>21081.81</v>
      </c>
      <c r="BO69" s="93">
        <v>116414.67000000009</v>
      </c>
      <c r="BP69" s="93">
        <v>0</v>
      </c>
      <c r="BQ69" s="93">
        <v>36844.03</v>
      </c>
      <c r="BR69" s="93">
        <v>75565.75</v>
      </c>
      <c r="BS69" s="93">
        <v>17853</v>
      </c>
      <c r="BT69" s="93">
        <v>0</v>
      </c>
      <c r="BU69" s="93">
        <v>138938.71</v>
      </c>
      <c r="BV69" s="93">
        <v>202670.03</v>
      </c>
      <c r="BW69" s="93">
        <v>50024</v>
      </c>
      <c r="BX69" s="93">
        <v>503888.09</v>
      </c>
      <c r="BY69" s="93">
        <v>0</v>
      </c>
      <c r="BZ69" s="93">
        <v>0</v>
      </c>
      <c r="CA69" s="93"/>
      <c r="CB69" s="93">
        <v>0</v>
      </c>
      <c r="CC69" s="93">
        <v>0</v>
      </c>
      <c r="CD69" s="93">
        <v>11425</v>
      </c>
      <c r="CE69" s="93">
        <v>0</v>
      </c>
      <c r="CF69" s="93">
        <v>0</v>
      </c>
      <c r="CG69" s="93">
        <v>0</v>
      </c>
      <c r="CH69" s="93">
        <v>0</v>
      </c>
      <c r="CI69" s="93">
        <v>0</v>
      </c>
      <c r="CJ69" s="93">
        <v>0</v>
      </c>
      <c r="CK69" s="93"/>
      <c r="CL69" s="93">
        <v>842018.03000000073</v>
      </c>
      <c r="CM69" s="93"/>
      <c r="CN69" s="93">
        <v>58991</v>
      </c>
      <c r="CO69" s="93">
        <v>0</v>
      </c>
      <c r="CP69" s="93">
        <v>0</v>
      </c>
      <c r="CQ69" s="93">
        <v>0</v>
      </c>
      <c r="CR69" s="100"/>
      <c r="CS69" s="95">
        <v>831726.05000000028</v>
      </c>
      <c r="CT69" s="95">
        <v>0</v>
      </c>
      <c r="CU69" s="96">
        <v>844435.85</v>
      </c>
      <c r="CV69" s="96">
        <v>-12709.8</v>
      </c>
      <c r="CW69" s="96">
        <v>-12709.799999999697</v>
      </c>
      <c r="CX69" s="95">
        <v>-12709.8</v>
      </c>
      <c r="CY69" s="95">
        <v>831726.04999999993</v>
      </c>
      <c r="CZ69" s="97">
        <v>0</v>
      </c>
      <c r="DA69" s="95">
        <v>0</v>
      </c>
      <c r="DB69" s="95">
        <v>0</v>
      </c>
      <c r="DC69" s="95">
        <v>-3.9999999920837581E-2</v>
      </c>
      <c r="DD69" s="96">
        <v>-12709.8</v>
      </c>
      <c r="DF69" s="95">
        <v>3.0195224098861217E-10</v>
      </c>
      <c r="DI69" s="95">
        <v>831726.05000000028</v>
      </c>
      <c r="DJ69" s="95">
        <v>0</v>
      </c>
      <c r="DK69" s="96">
        <v>844435.85</v>
      </c>
      <c r="DL69" s="96">
        <v>-12709.8</v>
      </c>
      <c r="DQ69" s="88">
        <v>3302466</v>
      </c>
      <c r="DT69" s="95">
        <f t="shared" si="2"/>
        <v>4144147.74</v>
      </c>
      <c r="DU69" s="95">
        <f t="shared" si="3"/>
        <v>4025865.27</v>
      </c>
      <c r="DV69" s="95">
        <f t="shared" si="4"/>
        <v>118282.4700000002</v>
      </c>
      <c r="DW69" s="95">
        <f t="shared" si="5"/>
        <v>11425</v>
      </c>
      <c r="DX69" s="95">
        <f t="shared" si="6"/>
        <v>0</v>
      </c>
      <c r="DY69" s="95">
        <f t="shared" si="9"/>
        <v>11425</v>
      </c>
      <c r="EA69" s="95">
        <f t="shared" si="10"/>
        <v>723735.56</v>
      </c>
      <c r="EB69" s="95">
        <f t="shared" si="11"/>
        <v>118282.4700000002</v>
      </c>
      <c r="EC69" s="95">
        <f t="shared" si="12"/>
        <v>842018.03000000026</v>
      </c>
      <c r="ED69" s="95">
        <v>842018.03000000026</v>
      </c>
      <c r="EE69" s="95">
        <f t="shared" si="7"/>
        <v>0</v>
      </c>
      <c r="EF69" s="95"/>
      <c r="EG69" s="95">
        <f t="shared" si="13"/>
        <v>47566</v>
      </c>
      <c r="EH69" s="95">
        <f t="shared" si="16"/>
        <v>11425</v>
      </c>
      <c r="EI69" s="95">
        <f t="shared" si="14"/>
        <v>58991</v>
      </c>
      <c r="EJ69" s="97">
        <v>58991</v>
      </c>
      <c r="EK69" s="95">
        <f t="shared" si="15"/>
        <v>0</v>
      </c>
    </row>
    <row r="70" spans="1:141" s="87" customFormat="1" x14ac:dyDescent="0.35">
      <c r="A70" s="87" t="str">
        <f>_xlfn.XLOOKUP(C70,[1]Adjustment!B:B,[1]Adjustment!H:H,0,0)</f>
        <v>Agree</v>
      </c>
      <c r="B70" s="87">
        <v>2477</v>
      </c>
      <c r="C70" s="88">
        <v>3302477</v>
      </c>
      <c r="D70" s="98" t="s">
        <v>256</v>
      </c>
      <c r="E70" s="89" t="s">
        <v>257</v>
      </c>
      <c r="F70" s="101"/>
      <c r="G70" s="99"/>
      <c r="H70" s="88"/>
      <c r="I70" s="88"/>
      <c r="J70" s="88"/>
      <c r="K70" s="88"/>
      <c r="L70" s="88"/>
      <c r="M70" s="88"/>
      <c r="N70" s="88"/>
      <c r="O70" s="88"/>
      <c r="P70" s="88"/>
      <c r="Q70" s="88"/>
      <c r="R70" s="88"/>
      <c r="S70" s="92"/>
      <c r="T70" s="92"/>
      <c r="U70" s="92"/>
      <c r="V70" s="92"/>
      <c r="W70" s="92"/>
      <c r="X70" s="92"/>
      <c r="Y70" s="93">
        <v>12801.06</v>
      </c>
      <c r="Z70" s="93"/>
      <c r="AA70" s="93">
        <v>33253.760000000002</v>
      </c>
      <c r="AB70" s="93">
        <v>3679933.52</v>
      </c>
      <c r="AC70" s="93">
        <v>0</v>
      </c>
      <c r="AD70" s="93">
        <v>131547.5</v>
      </c>
      <c r="AE70" s="93">
        <v>0</v>
      </c>
      <c r="AF70" s="93">
        <v>111545.5</v>
      </c>
      <c r="AG70" s="93">
        <v>8227.7199999999993</v>
      </c>
      <c r="AH70" s="93">
        <v>0</v>
      </c>
      <c r="AI70" s="93">
        <v>0</v>
      </c>
      <c r="AJ70" s="93">
        <v>420003.14999999903</v>
      </c>
      <c r="AK70" s="93">
        <v>0</v>
      </c>
      <c r="AL70" s="93">
        <v>0</v>
      </c>
      <c r="AM70" s="93">
        <v>0</v>
      </c>
      <c r="AN70" s="93">
        <v>569263.22</v>
      </c>
      <c r="AO70" s="93">
        <v>0</v>
      </c>
      <c r="AP70" s="93">
        <v>0</v>
      </c>
      <c r="AQ70" s="93">
        <v>0</v>
      </c>
      <c r="AR70" s="93">
        <v>0</v>
      </c>
      <c r="AS70" s="93">
        <v>0</v>
      </c>
      <c r="AT70" s="93">
        <v>0</v>
      </c>
      <c r="AU70" s="93">
        <v>6187.5</v>
      </c>
      <c r="AV70" s="93">
        <v>182257</v>
      </c>
      <c r="AW70" s="93">
        <v>2209766.25</v>
      </c>
      <c r="AX70" s="93">
        <v>0</v>
      </c>
      <c r="AY70" s="93">
        <v>829756.18</v>
      </c>
      <c r="AZ70" s="93">
        <v>71621.740000000005</v>
      </c>
      <c r="BA70" s="93">
        <v>375438.59</v>
      </c>
      <c r="BB70" s="93">
        <v>0</v>
      </c>
      <c r="BC70" s="93">
        <v>109296.11</v>
      </c>
      <c r="BD70" s="93">
        <v>2304.59</v>
      </c>
      <c r="BE70" s="93">
        <v>50</v>
      </c>
      <c r="BF70" s="93">
        <v>0</v>
      </c>
      <c r="BG70" s="93">
        <v>0</v>
      </c>
      <c r="BH70" s="93">
        <v>19972.46</v>
      </c>
      <c r="BI70" s="93">
        <v>0</v>
      </c>
      <c r="BJ70" s="93">
        <v>87623.2</v>
      </c>
      <c r="BK70" s="93">
        <v>31565.279999999999</v>
      </c>
      <c r="BL70" s="93">
        <v>171395.49</v>
      </c>
      <c r="BM70" s="93">
        <v>0</v>
      </c>
      <c r="BN70" s="93">
        <v>7720.44</v>
      </c>
      <c r="BO70" s="93">
        <v>118617.71</v>
      </c>
      <c r="BP70" s="93">
        <v>682</v>
      </c>
      <c r="BQ70" s="93">
        <v>0</v>
      </c>
      <c r="BR70" s="93">
        <v>123989.79</v>
      </c>
      <c r="BS70" s="93">
        <v>4895</v>
      </c>
      <c r="BT70" s="93">
        <v>9258</v>
      </c>
      <c r="BU70" s="93">
        <v>184797.11</v>
      </c>
      <c r="BV70" s="93">
        <v>257251.55</v>
      </c>
      <c r="BW70" s="93">
        <v>68366</v>
      </c>
      <c r="BX70" s="93">
        <v>188298.54</v>
      </c>
      <c r="BY70" s="93">
        <v>0</v>
      </c>
      <c r="BZ70" s="93">
        <v>0</v>
      </c>
      <c r="CA70" s="93"/>
      <c r="CB70" s="93">
        <v>0</v>
      </c>
      <c r="CC70" s="93">
        <v>0</v>
      </c>
      <c r="CD70" s="93">
        <v>12392.5</v>
      </c>
      <c r="CE70" s="93">
        <v>0</v>
      </c>
      <c r="CF70" s="93">
        <v>0</v>
      </c>
      <c r="CG70" s="93">
        <v>0</v>
      </c>
      <c r="CH70" s="93">
        <v>0</v>
      </c>
      <c r="CI70" s="93">
        <v>37900</v>
      </c>
      <c r="CJ70" s="93">
        <v>6533.2</v>
      </c>
      <c r="CK70" s="93"/>
      <c r="CL70" s="93">
        <v>249100.13999999966</v>
      </c>
      <c r="CM70" s="93"/>
      <c r="CN70" s="93">
        <v>1213.0600000000049</v>
      </c>
      <c r="CO70" s="93">
        <v>0</v>
      </c>
      <c r="CP70" s="93">
        <v>0</v>
      </c>
      <c r="CQ70" s="93">
        <v>0</v>
      </c>
      <c r="CR70" s="100"/>
      <c r="CS70" s="95">
        <v>190615.59000000026</v>
      </c>
      <c r="CT70" s="95">
        <v>0</v>
      </c>
      <c r="CU70" s="96">
        <v>230402.55</v>
      </c>
      <c r="CV70" s="96">
        <v>-39786.959999999999</v>
      </c>
      <c r="CW70" s="96">
        <v>-39786.95999999973</v>
      </c>
      <c r="CX70" s="95">
        <v>-39786.959999999999</v>
      </c>
      <c r="CY70" s="95">
        <v>190615.59</v>
      </c>
      <c r="CZ70" s="97">
        <v>0</v>
      </c>
      <c r="DA70" s="95">
        <v>0</v>
      </c>
      <c r="DB70" s="95">
        <v>2098.5500000009779</v>
      </c>
      <c r="DC70" s="95">
        <v>0</v>
      </c>
      <c r="DD70" s="96">
        <v>-39786.959999999999</v>
      </c>
      <c r="DF70" s="95">
        <v>2.6921043172478676E-10</v>
      </c>
      <c r="DI70" s="95">
        <v>190615.59000000026</v>
      </c>
      <c r="DJ70" s="95">
        <v>0</v>
      </c>
      <c r="DK70" s="96">
        <v>230402.55</v>
      </c>
      <c r="DL70" s="96">
        <v>-39786.959999999999</v>
      </c>
      <c r="DQ70" s="88">
        <v>3302477</v>
      </c>
      <c r="DT70" s="95">
        <f t="shared" si="2"/>
        <v>5108965.1099999994</v>
      </c>
      <c r="DU70" s="95">
        <f t="shared" si="3"/>
        <v>4872666.0299999993</v>
      </c>
      <c r="DV70" s="95">
        <f t="shared" si="4"/>
        <v>236299.08000000007</v>
      </c>
      <c r="DW70" s="95">
        <f t="shared" si="5"/>
        <v>12392.5</v>
      </c>
      <c r="DX70" s="95">
        <f t="shared" si="6"/>
        <v>44433.2</v>
      </c>
      <c r="DY70" s="95">
        <f t="shared" si="9"/>
        <v>-32040.699999999997</v>
      </c>
      <c r="EA70" s="95">
        <f t="shared" si="10"/>
        <v>12801.06</v>
      </c>
      <c r="EB70" s="95">
        <f t="shared" si="11"/>
        <v>236299.08000000007</v>
      </c>
      <c r="EC70" s="95">
        <f t="shared" si="12"/>
        <v>249100.14000000007</v>
      </c>
      <c r="ED70" s="95">
        <v>249100.14000000007</v>
      </c>
      <c r="EE70" s="95">
        <f t="shared" si="7"/>
        <v>0</v>
      </c>
      <c r="EF70" s="95"/>
      <c r="EG70" s="95">
        <f t="shared" si="13"/>
        <v>33253.760000000002</v>
      </c>
      <c r="EH70" s="95">
        <f t="shared" si="16"/>
        <v>-32040.699999999997</v>
      </c>
      <c r="EI70" s="95">
        <f t="shared" si="14"/>
        <v>1213.0600000000049</v>
      </c>
      <c r="EJ70" s="97">
        <v>1213.760000000002</v>
      </c>
      <c r="EK70" s="95">
        <f t="shared" si="15"/>
        <v>0.69999999999708962</v>
      </c>
    </row>
    <row r="71" spans="1:141" s="87" customFormat="1" x14ac:dyDescent="0.35">
      <c r="A71" s="87" t="str">
        <f>_xlfn.XLOOKUP(C71,[1]Adjustment!B:B,[1]Adjustment!H:H,0,0)</f>
        <v>Agree</v>
      </c>
      <c r="B71" s="87">
        <v>2486</v>
      </c>
      <c r="C71" s="88">
        <v>3302486</v>
      </c>
      <c r="D71" s="98" t="s">
        <v>258</v>
      </c>
      <c r="E71" s="89" t="s">
        <v>259</v>
      </c>
      <c r="F71" s="101"/>
      <c r="G71" s="99"/>
      <c r="H71" s="88"/>
      <c r="I71" s="88"/>
      <c r="J71" s="88"/>
      <c r="K71" s="88"/>
      <c r="L71" s="88"/>
      <c r="M71" s="88"/>
      <c r="N71" s="88"/>
      <c r="O71" s="88"/>
      <c r="P71" s="88"/>
      <c r="Q71" s="88"/>
      <c r="R71" s="88"/>
      <c r="S71" s="92"/>
      <c r="T71" s="92"/>
      <c r="U71" s="92"/>
      <c r="V71" s="92"/>
      <c r="W71" s="92"/>
      <c r="X71" s="92"/>
      <c r="Y71" s="93">
        <v>193731.52</v>
      </c>
      <c r="Z71" s="93"/>
      <c r="AA71" s="93">
        <v>-13345.3</v>
      </c>
      <c r="AB71" s="93">
        <v>1332802.43</v>
      </c>
      <c r="AC71" s="93">
        <v>0</v>
      </c>
      <c r="AD71" s="93">
        <v>109397</v>
      </c>
      <c r="AE71" s="93">
        <v>0</v>
      </c>
      <c r="AF71" s="93">
        <v>195550.5</v>
      </c>
      <c r="AG71" s="93">
        <v>0</v>
      </c>
      <c r="AH71" s="93">
        <v>0</v>
      </c>
      <c r="AI71" s="93">
        <v>0</v>
      </c>
      <c r="AJ71" s="93">
        <v>86079.169999999751</v>
      </c>
      <c r="AK71" s="93">
        <v>4700.1000000000004</v>
      </c>
      <c r="AL71" s="93">
        <v>0</v>
      </c>
      <c r="AM71" s="93">
        <v>2095.1</v>
      </c>
      <c r="AN71" s="93">
        <v>0</v>
      </c>
      <c r="AO71" s="93">
        <v>0</v>
      </c>
      <c r="AP71" s="93">
        <v>0</v>
      </c>
      <c r="AQ71" s="93">
        <v>0</v>
      </c>
      <c r="AR71" s="93">
        <v>0</v>
      </c>
      <c r="AS71" s="93">
        <v>0</v>
      </c>
      <c r="AT71" s="93">
        <v>0</v>
      </c>
      <c r="AU71" s="93">
        <v>15054.25</v>
      </c>
      <c r="AV71" s="93">
        <v>31974</v>
      </c>
      <c r="AW71" s="93">
        <v>570538.77999999968</v>
      </c>
      <c r="AX71" s="93">
        <v>0</v>
      </c>
      <c r="AY71" s="93">
        <v>391865</v>
      </c>
      <c r="AZ71" s="93">
        <v>75501.05</v>
      </c>
      <c r="BA71" s="93">
        <v>94849.38</v>
      </c>
      <c r="BB71" s="93">
        <v>71473.429999999993</v>
      </c>
      <c r="BC71" s="93">
        <v>51953.83</v>
      </c>
      <c r="BD71" s="93">
        <v>3362</v>
      </c>
      <c r="BE71" s="93">
        <v>1656</v>
      </c>
      <c r="BF71" s="93">
        <v>0</v>
      </c>
      <c r="BG71" s="93">
        <v>0</v>
      </c>
      <c r="BH71" s="93">
        <v>8587.4500000000007</v>
      </c>
      <c r="BI71" s="93">
        <v>3373.77</v>
      </c>
      <c r="BJ71" s="93">
        <v>1670.72</v>
      </c>
      <c r="BK71" s="93">
        <v>4445.9399999999996</v>
      </c>
      <c r="BL71" s="93">
        <v>80146.740000000005</v>
      </c>
      <c r="BM71" s="93">
        <v>35856.89</v>
      </c>
      <c r="BN71" s="93">
        <v>6776.11</v>
      </c>
      <c r="BO71" s="93">
        <v>47006.74</v>
      </c>
      <c r="BP71" s="93">
        <v>0</v>
      </c>
      <c r="BQ71" s="93">
        <v>0</v>
      </c>
      <c r="BR71" s="93">
        <v>19743.64</v>
      </c>
      <c r="BS71" s="93">
        <v>4895</v>
      </c>
      <c r="BT71" s="93">
        <v>3945.6</v>
      </c>
      <c r="BU71" s="93">
        <v>37427.99</v>
      </c>
      <c r="BV71" s="93">
        <v>69393.039999999994</v>
      </c>
      <c r="BW71" s="93">
        <v>0</v>
      </c>
      <c r="BX71" s="93">
        <v>77630.899999999994</v>
      </c>
      <c r="BY71" s="93">
        <v>0</v>
      </c>
      <c r="BZ71" s="93">
        <v>0</v>
      </c>
      <c r="CA71" s="93"/>
      <c r="CB71" s="93">
        <v>0</v>
      </c>
      <c r="CC71" s="93">
        <v>0</v>
      </c>
      <c r="CD71" s="93">
        <v>6286</v>
      </c>
      <c r="CE71" s="93">
        <v>22537</v>
      </c>
      <c r="CF71" s="93">
        <v>0</v>
      </c>
      <c r="CG71" s="93">
        <v>0</v>
      </c>
      <c r="CH71" s="93">
        <v>0</v>
      </c>
      <c r="CI71" s="93">
        <v>0</v>
      </c>
      <c r="CJ71" s="93">
        <v>0</v>
      </c>
      <c r="CK71" s="93">
        <v>9937</v>
      </c>
      <c r="CL71" s="93">
        <v>309284.0700000003</v>
      </c>
      <c r="CM71" s="93"/>
      <c r="CN71" s="93">
        <v>5540.7000000000007</v>
      </c>
      <c r="CO71" s="93">
        <v>0</v>
      </c>
      <c r="CP71" s="93">
        <v>0</v>
      </c>
      <c r="CQ71" s="93">
        <v>0</v>
      </c>
      <c r="CR71" s="100"/>
      <c r="CS71" s="95">
        <v>291720.42999999993</v>
      </c>
      <c r="CT71" s="95">
        <v>0</v>
      </c>
      <c r="CU71" s="96">
        <v>300502.03000000003</v>
      </c>
      <c r="CV71" s="96">
        <v>-8781.6</v>
      </c>
      <c r="CW71" s="96">
        <v>-8781.6000000000931</v>
      </c>
      <c r="CX71" s="95">
        <v>-8781.6</v>
      </c>
      <c r="CY71" s="95">
        <v>291720.43000000005</v>
      </c>
      <c r="CZ71" s="97">
        <v>-1722.3000000000011</v>
      </c>
      <c r="DA71" s="95">
        <v>-1722.3000000000011</v>
      </c>
      <c r="DB71" s="95">
        <v>2.0000000251457095E-2</v>
      </c>
      <c r="DC71" s="95">
        <v>0</v>
      </c>
      <c r="DD71" s="96">
        <v>-8781.6</v>
      </c>
      <c r="DF71" s="95">
        <v>-9.276845958083868E-11</v>
      </c>
      <c r="DI71" s="95">
        <v>291720.42999999993</v>
      </c>
      <c r="DJ71" s="95">
        <v>0</v>
      </c>
      <c r="DK71" s="96">
        <v>300502.03000000003</v>
      </c>
      <c r="DL71" s="96">
        <v>-8781.6</v>
      </c>
      <c r="DQ71" s="88">
        <v>3302486</v>
      </c>
      <c r="DT71" s="95">
        <f t="shared" si="2"/>
        <v>1777652.5499999998</v>
      </c>
      <c r="DU71" s="95">
        <f t="shared" si="3"/>
        <v>1662099.9999999995</v>
      </c>
      <c r="DV71" s="95">
        <f t="shared" si="4"/>
        <v>115552.55000000028</v>
      </c>
      <c r="DW71" s="95">
        <f t="shared" si="5"/>
        <v>28823</v>
      </c>
      <c r="DX71" s="95">
        <f t="shared" si="6"/>
        <v>9937</v>
      </c>
      <c r="DY71" s="95">
        <f t="shared" si="9"/>
        <v>18886</v>
      </c>
      <c r="EA71" s="95">
        <f t="shared" si="10"/>
        <v>193731.52</v>
      </c>
      <c r="EB71" s="95">
        <f t="shared" si="11"/>
        <v>115552.55000000028</v>
      </c>
      <c r="EC71" s="95">
        <f t="shared" si="12"/>
        <v>309284.0700000003</v>
      </c>
      <c r="ED71" s="95">
        <v>309284.0700000003</v>
      </c>
      <c r="EE71" s="95">
        <f t="shared" si="7"/>
        <v>0</v>
      </c>
      <c r="EF71" s="95"/>
      <c r="EG71" s="95">
        <f t="shared" si="13"/>
        <v>-13345.3</v>
      </c>
      <c r="EH71" s="95">
        <f t="shared" si="16"/>
        <v>18886</v>
      </c>
      <c r="EI71" s="95">
        <f t="shared" si="14"/>
        <v>5540.7000000000007</v>
      </c>
      <c r="EJ71" s="97">
        <v>5540.7000000000007</v>
      </c>
      <c r="EK71" s="95">
        <f t="shared" si="15"/>
        <v>0</v>
      </c>
    </row>
    <row r="72" spans="1:141" s="87" customFormat="1" x14ac:dyDescent="0.35">
      <c r="A72" s="87" t="str">
        <f>_xlfn.XLOOKUP(C72,[1]Adjustment!B:B,[1]Adjustment!H:H,0,0)</f>
        <v>Agree</v>
      </c>
      <c r="B72" s="87">
        <v>3019</v>
      </c>
      <c r="C72" s="88">
        <v>3303019</v>
      </c>
      <c r="D72" s="98" t="s">
        <v>260</v>
      </c>
      <c r="E72" s="89" t="s">
        <v>261</v>
      </c>
      <c r="F72" s="101"/>
      <c r="G72" s="99"/>
      <c r="H72" s="88"/>
      <c r="I72" s="88"/>
      <c r="J72" s="88"/>
      <c r="K72" s="88"/>
      <c r="L72" s="88"/>
      <c r="M72" s="88"/>
      <c r="N72" s="88"/>
      <c r="O72" s="88"/>
      <c r="P72" s="88"/>
      <c r="Q72" s="88"/>
      <c r="R72" s="88"/>
      <c r="S72" s="92"/>
      <c r="T72" s="92"/>
      <c r="U72" s="92"/>
      <c r="V72" s="92"/>
      <c r="W72" s="92"/>
      <c r="X72" s="92"/>
      <c r="Y72" s="93">
        <v>543839.66</v>
      </c>
      <c r="Z72" s="93"/>
      <c r="AA72" s="93">
        <v>35874</v>
      </c>
      <c r="AB72" s="93">
        <v>2233044.29</v>
      </c>
      <c r="AC72" s="93">
        <v>0</v>
      </c>
      <c r="AD72" s="93">
        <v>201415.2</v>
      </c>
      <c r="AE72" s="93">
        <v>0</v>
      </c>
      <c r="AF72" s="93">
        <v>244060</v>
      </c>
      <c r="AG72" s="93">
        <v>2400</v>
      </c>
      <c r="AH72" s="93">
        <v>0</v>
      </c>
      <c r="AI72" s="93">
        <v>0</v>
      </c>
      <c r="AJ72" s="93">
        <v>89131.46</v>
      </c>
      <c r="AK72" s="93">
        <v>0</v>
      </c>
      <c r="AL72" s="93">
        <v>0</v>
      </c>
      <c r="AM72" s="93">
        <v>0</v>
      </c>
      <c r="AN72" s="93">
        <v>370.02</v>
      </c>
      <c r="AO72" s="93">
        <v>0</v>
      </c>
      <c r="AP72" s="93">
        <v>0</v>
      </c>
      <c r="AQ72" s="93">
        <v>0</v>
      </c>
      <c r="AR72" s="93">
        <v>0</v>
      </c>
      <c r="AS72" s="93">
        <v>0</v>
      </c>
      <c r="AT72" s="93">
        <v>0</v>
      </c>
      <c r="AU72" s="93">
        <v>39176.33</v>
      </c>
      <c r="AV72" s="93">
        <v>69927</v>
      </c>
      <c r="AW72" s="93">
        <v>1064646.4599999997</v>
      </c>
      <c r="AX72" s="93">
        <v>0</v>
      </c>
      <c r="AY72" s="93">
        <v>506956.19</v>
      </c>
      <c r="AZ72" s="93">
        <v>61786.83</v>
      </c>
      <c r="BA72" s="93">
        <v>238185.71</v>
      </c>
      <c r="BB72" s="93">
        <v>0</v>
      </c>
      <c r="BC72" s="93">
        <v>81277.179999999993</v>
      </c>
      <c r="BD72" s="93">
        <v>327.01</v>
      </c>
      <c r="BE72" s="93">
        <v>7419.3</v>
      </c>
      <c r="BF72" s="93">
        <v>0</v>
      </c>
      <c r="BG72" s="93">
        <v>0</v>
      </c>
      <c r="BH72" s="93">
        <v>88227.81</v>
      </c>
      <c r="BI72" s="93">
        <v>29039.99</v>
      </c>
      <c r="BJ72" s="93">
        <v>3570.08</v>
      </c>
      <c r="BK72" s="93">
        <v>5509.84</v>
      </c>
      <c r="BL72" s="93">
        <v>53940.800000000003</v>
      </c>
      <c r="BM72" s="93">
        <v>0</v>
      </c>
      <c r="BN72" s="93">
        <v>18078.61</v>
      </c>
      <c r="BO72" s="93">
        <v>99612.380000000951</v>
      </c>
      <c r="BP72" s="93">
        <v>44992.79</v>
      </c>
      <c r="BQ72" s="93">
        <v>240.4</v>
      </c>
      <c r="BR72" s="93">
        <v>31869.57</v>
      </c>
      <c r="BS72" s="93">
        <v>9372.7999999999993</v>
      </c>
      <c r="BT72" s="93">
        <v>15563.2</v>
      </c>
      <c r="BU72" s="93">
        <v>194784.25</v>
      </c>
      <c r="BV72" s="93">
        <v>229240.9</v>
      </c>
      <c r="BW72" s="93">
        <v>240</v>
      </c>
      <c r="BX72" s="93">
        <v>178358.86</v>
      </c>
      <c r="BY72" s="93">
        <v>0</v>
      </c>
      <c r="BZ72" s="93">
        <v>0</v>
      </c>
      <c r="CA72" s="93"/>
      <c r="CB72" s="93">
        <v>0</v>
      </c>
      <c r="CC72" s="93">
        <v>0</v>
      </c>
      <c r="CD72" s="93">
        <v>8646.25</v>
      </c>
      <c r="CE72" s="93">
        <v>0</v>
      </c>
      <c r="CF72" s="93">
        <v>0</v>
      </c>
      <c r="CG72" s="93">
        <v>0</v>
      </c>
      <c r="CH72" s="93">
        <v>0</v>
      </c>
      <c r="CI72" s="93">
        <v>0</v>
      </c>
      <c r="CJ72" s="93">
        <v>14233</v>
      </c>
      <c r="CK72" s="93"/>
      <c r="CL72" s="93">
        <v>460123.00000000047</v>
      </c>
      <c r="CM72" s="93"/>
      <c r="CN72" s="93">
        <v>30287.25</v>
      </c>
      <c r="CO72" s="93">
        <v>0</v>
      </c>
      <c r="CP72" s="93">
        <v>0</v>
      </c>
      <c r="CQ72" s="93">
        <v>0</v>
      </c>
      <c r="CR72" s="100"/>
      <c r="CS72" s="95">
        <v>424018.55999999994</v>
      </c>
      <c r="CT72" s="95">
        <v>0</v>
      </c>
      <c r="CU72" s="96">
        <v>460118.43</v>
      </c>
      <c r="CV72" s="96">
        <v>-36099.870000000003</v>
      </c>
      <c r="CW72" s="96">
        <v>-36099.870000000054</v>
      </c>
      <c r="CX72" s="95">
        <v>-36099.870000000003</v>
      </c>
      <c r="CY72" s="95">
        <v>424018.56</v>
      </c>
      <c r="CZ72" s="97">
        <v>18204.54</v>
      </c>
      <c r="DA72" s="95">
        <v>18204.54</v>
      </c>
      <c r="DB72" s="95">
        <v>0</v>
      </c>
      <c r="DC72" s="95">
        <v>-3.9999999047722667E-2</v>
      </c>
      <c r="DD72" s="96">
        <v>-36099.870000000003</v>
      </c>
      <c r="DF72" s="95">
        <v>0</v>
      </c>
      <c r="DI72" s="95">
        <v>424018.55999999994</v>
      </c>
      <c r="DJ72" s="95">
        <v>0</v>
      </c>
      <c r="DK72" s="96">
        <v>460118.43</v>
      </c>
      <c r="DL72" s="96">
        <v>-36099.870000000003</v>
      </c>
      <c r="DQ72" s="88">
        <v>3303019</v>
      </c>
      <c r="DT72" s="95">
        <f t="shared" si="2"/>
        <v>2879524.3000000003</v>
      </c>
      <c r="DU72" s="95">
        <f t="shared" si="3"/>
        <v>2963240.96</v>
      </c>
      <c r="DV72" s="95">
        <f t="shared" si="4"/>
        <v>-83716.659999999683</v>
      </c>
      <c r="DW72" s="95">
        <f t="shared" si="5"/>
        <v>8646.25</v>
      </c>
      <c r="DX72" s="95">
        <f t="shared" si="6"/>
        <v>14233</v>
      </c>
      <c r="DY72" s="95">
        <f t="shared" si="9"/>
        <v>-5586.75</v>
      </c>
      <c r="EA72" s="95">
        <f t="shared" si="10"/>
        <v>543839.66</v>
      </c>
      <c r="EB72" s="95">
        <f t="shared" si="11"/>
        <v>-83716.659999999683</v>
      </c>
      <c r="EC72" s="95">
        <f t="shared" si="12"/>
        <v>460123.00000000035</v>
      </c>
      <c r="ED72" s="95">
        <v>460123.00000000035</v>
      </c>
      <c r="EE72" s="95">
        <f t="shared" si="7"/>
        <v>0</v>
      </c>
      <c r="EF72" s="95"/>
      <c r="EG72" s="95">
        <f t="shared" si="13"/>
        <v>35874</v>
      </c>
      <c r="EH72" s="95">
        <f t="shared" si="16"/>
        <v>-5586.75</v>
      </c>
      <c r="EI72" s="95">
        <f t="shared" si="14"/>
        <v>30287.25</v>
      </c>
      <c r="EJ72" s="97">
        <v>30287.25</v>
      </c>
      <c r="EK72" s="95">
        <f t="shared" si="15"/>
        <v>0</v>
      </c>
    </row>
    <row r="73" spans="1:141" s="87" customFormat="1" x14ac:dyDescent="0.35">
      <c r="A73" s="87" t="str">
        <f>_xlfn.XLOOKUP(C73,[1]Adjustment!B:B,[1]Adjustment!H:H,0,0)</f>
        <v>Agree</v>
      </c>
      <c r="B73" s="87">
        <v>3025</v>
      </c>
      <c r="C73" s="88">
        <v>3303025</v>
      </c>
      <c r="D73" s="98" t="s">
        <v>262</v>
      </c>
      <c r="E73" s="89" t="s">
        <v>263</v>
      </c>
      <c r="F73" s="101"/>
      <c r="G73" s="99"/>
      <c r="H73" s="88"/>
      <c r="I73" s="88"/>
      <c r="J73" s="88"/>
      <c r="K73" s="88"/>
      <c r="L73" s="88"/>
      <c r="M73" s="88"/>
      <c r="N73" s="88"/>
      <c r="O73" s="88"/>
      <c r="P73" s="88"/>
      <c r="Q73" s="88"/>
      <c r="R73" s="88"/>
      <c r="S73" s="92"/>
      <c r="T73" s="92"/>
      <c r="U73" s="92"/>
      <c r="V73" s="92"/>
      <c r="W73" s="92"/>
      <c r="X73" s="92"/>
      <c r="Y73" s="93">
        <v>93872.46</v>
      </c>
      <c r="Z73" s="93"/>
      <c r="AA73" s="93">
        <v>0</v>
      </c>
      <c r="AB73" s="93">
        <v>2063277.22</v>
      </c>
      <c r="AC73" s="93">
        <v>0</v>
      </c>
      <c r="AD73" s="93">
        <v>149075.95000000001</v>
      </c>
      <c r="AE73" s="93">
        <v>0</v>
      </c>
      <c r="AF73" s="93">
        <v>149016.5</v>
      </c>
      <c r="AG73" s="93">
        <v>856.93</v>
      </c>
      <c r="AH73" s="93">
        <v>0</v>
      </c>
      <c r="AI73" s="93">
        <v>0</v>
      </c>
      <c r="AJ73" s="93">
        <v>92875.299999999494</v>
      </c>
      <c r="AK73" s="93">
        <v>0</v>
      </c>
      <c r="AL73" s="93">
        <v>0</v>
      </c>
      <c r="AM73" s="93">
        <v>0</v>
      </c>
      <c r="AN73" s="93">
        <v>19679</v>
      </c>
      <c r="AO73" s="93">
        <v>0</v>
      </c>
      <c r="AP73" s="93">
        <v>0</v>
      </c>
      <c r="AQ73" s="93">
        <v>0</v>
      </c>
      <c r="AR73" s="93">
        <v>0</v>
      </c>
      <c r="AS73" s="93">
        <v>0</v>
      </c>
      <c r="AT73" s="93">
        <v>0</v>
      </c>
      <c r="AU73" s="93">
        <v>9543.3799999999992</v>
      </c>
      <c r="AV73" s="93">
        <v>82040</v>
      </c>
      <c r="AW73" s="93">
        <v>1236612.4699999997</v>
      </c>
      <c r="AX73" s="93">
        <v>0</v>
      </c>
      <c r="AY73" s="93">
        <v>301209.53999999998</v>
      </c>
      <c r="AZ73" s="93">
        <v>37972.76</v>
      </c>
      <c r="BA73" s="93">
        <v>189282.31</v>
      </c>
      <c r="BB73" s="93">
        <v>58405.77</v>
      </c>
      <c r="BC73" s="93">
        <v>59104.92</v>
      </c>
      <c r="BD73" s="93">
        <v>483.14</v>
      </c>
      <c r="BE73" s="93">
        <v>3868.5</v>
      </c>
      <c r="BF73" s="93">
        <v>0</v>
      </c>
      <c r="BG73" s="93">
        <v>0</v>
      </c>
      <c r="BH73" s="93">
        <v>34102.82</v>
      </c>
      <c r="BI73" s="93">
        <v>4469.2700000000004</v>
      </c>
      <c r="BJ73" s="93">
        <v>3991.67</v>
      </c>
      <c r="BK73" s="93">
        <v>13552.5</v>
      </c>
      <c r="BL73" s="93">
        <v>37163.910000000003</v>
      </c>
      <c r="BM73" s="93">
        <v>0</v>
      </c>
      <c r="BN73" s="93">
        <v>9599.3799999999992</v>
      </c>
      <c r="BO73" s="93">
        <v>109236.76</v>
      </c>
      <c r="BP73" s="93">
        <v>572.41999999999996</v>
      </c>
      <c r="BQ73" s="93">
        <v>22977.41</v>
      </c>
      <c r="BR73" s="93">
        <v>42655.02</v>
      </c>
      <c r="BS73" s="93">
        <v>4895</v>
      </c>
      <c r="BT73" s="93">
        <v>3250</v>
      </c>
      <c r="BU73" s="93">
        <v>52649.279999999999</v>
      </c>
      <c r="BV73" s="93">
        <v>257988.7</v>
      </c>
      <c r="BW73" s="93">
        <v>2250</v>
      </c>
      <c r="BX73" s="93">
        <v>87287.73</v>
      </c>
      <c r="BY73" s="93">
        <v>0</v>
      </c>
      <c r="BZ73" s="93">
        <v>0</v>
      </c>
      <c r="CA73" s="93"/>
      <c r="CB73" s="93">
        <v>0</v>
      </c>
      <c r="CC73" s="93">
        <v>0</v>
      </c>
      <c r="CD73" s="93">
        <v>9374.4</v>
      </c>
      <c r="CE73" s="93">
        <v>0</v>
      </c>
      <c r="CF73" s="93">
        <v>0</v>
      </c>
      <c r="CG73" s="93">
        <v>0</v>
      </c>
      <c r="CH73" s="93">
        <v>0</v>
      </c>
      <c r="CI73" s="93">
        <v>9374.4</v>
      </c>
      <c r="CJ73" s="93">
        <v>0</v>
      </c>
      <c r="CK73" s="93"/>
      <c r="CL73" s="93">
        <v>86655.459999999963</v>
      </c>
      <c r="CM73" s="93"/>
      <c r="CN73" s="93">
        <v>0</v>
      </c>
      <c r="CO73" s="93">
        <v>0</v>
      </c>
      <c r="CP73" s="93">
        <v>0</v>
      </c>
      <c r="CQ73" s="93">
        <v>0</v>
      </c>
      <c r="CR73" s="100"/>
      <c r="CS73" s="95">
        <v>46867.969999999783</v>
      </c>
      <c r="CT73" s="95">
        <v>0</v>
      </c>
      <c r="CU73" s="96">
        <v>48261.01</v>
      </c>
      <c r="CV73" s="96">
        <v>-1393.04</v>
      </c>
      <c r="CW73" s="96">
        <v>-1393.0400000002192</v>
      </c>
      <c r="CX73" s="95">
        <v>-1393.04</v>
      </c>
      <c r="CY73" s="95">
        <v>46867.97</v>
      </c>
      <c r="CZ73" s="97">
        <v>0</v>
      </c>
      <c r="DA73" s="95">
        <v>0</v>
      </c>
      <c r="DB73" s="95">
        <v>42313.720000000489</v>
      </c>
      <c r="DC73" s="95">
        <v>0</v>
      </c>
      <c r="DD73" s="96">
        <v>-1393.04</v>
      </c>
      <c r="DF73" s="95">
        <v>-2.1918822312727571E-10</v>
      </c>
      <c r="DI73" s="95">
        <v>46867.969999999783</v>
      </c>
      <c r="DJ73" s="95">
        <v>0</v>
      </c>
      <c r="DK73" s="96">
        <v>48261.01</v>
      </c>
      <c r="DL73" s="96">
        <v>-1393.04</v>
      </c>
      <c r="DQ73" s="88">
        <v>3303025</v>
      </c>
      <c r="DT73" s="95">
        <f t="shared" ref="DT73:DT102" si="17">SUM(AB73:AV73)</f>
        <v>2566364.2799999993</v>
      </c>
      <c r="DU73" s="95">
        <f t="shared" ref="DU73:DU102" si="18">SUM(AW73:CA73)</f>
        <v>2573581.2799999993</v>
      </c>
      <c r="DV73" s="95">
        <f t="shared" ref="DV73:DV102" si="19">DT73-DU73</f>
        <v>-7217</v>
      </c>
      <c r="DW73" s="95">
        <f t="shared" ref="DW73:DW96" si="20">SUM(CD73:CF73)</f>
        <v>9374.4</v>
      </c>
      <c r="DX73" s="95">
        <f t="shared" ref="DX73:DX102" si="21">SUM(CH73:CK73)</f>
        <v>9374.4</v>
      </c>
      <c r="DY73" s="95">
        <f t="shared" si="9"/>
        <v>0</v>
      </c>
      <c r="EA73" s="95">
        <f t="shared" si="10"/>
        <v>93872.46</v>
      </c>
      <c r="EB73" s="95">
        <f t="shared" si="11"/>
        <v>-7217</v>
      </c>
      <c r="EC73" s="95">
        <f t="shared" si="12"/>
        <v>86655.46</v>
      </c>
      <c r="ED73" s="95">
        <v>86655.46</v>
      </c>
      <c r="EE73" s="95">
        <f t="shared" ref="EE73:EE103" si="22">EC73-ED73</f>
        <v>0</v>
      </c>
      <c r="EF73" s="95"/>
      <c r="EG73" s="95">
        <f t="shared" si="13"/>
        <v>0</v>
      </c>
      <c r="EH73" s="95">
        <f t="shared" si="16"/>
        <v>0</v>
      </c>
      <c r="EI73" s="95">
        <f t="shared" si="14"/>
        <v>0</v>
      </c>
      <c r="EJ73" s="97">
        <v>0</v>
      </c>
      <c r="EK73" s="95">
        <f t="shared" si="15"/>
        <v>0</v>
      </c>
    </row>
    <row r="74" spans="1:141" s="87" customFormat="1" x14ac:dyDescent="0.35">
      <c r="A74" s="87" t="str">
        <f>_xlfn.XLOOKUP(C74,[1]Adjustment!B:B,[1]Adjustment!H:H,0,0)</f>
        <v>Agree</v>
      </c>
      <c r="B74" s="87">
        <v>3320</v>
      </c>
      <c r="C74" s="88">
        <v>3303320</v>
      </c>
      <c r="D74" s="98" t="s">
        <v>264</v>
      </c>
      <c r="E74" s="89" t="s">
        <v>265</v>
      </c>
      <c r="F74" s="101"/>
      <c r="G74" s="99"/>
      <c r="H74" s="88"/>
      <c r="I74" s="88"/>
      <c r="J74" s="88"/>
      <c r="K74" s="88"/>
      <c r="L74" s="88"/>
      <c r="M74" s="88"/>
      <c r="N74" s="88"/>
      <c r="O74" s="88"/>
      <c r="P74" s="88"/>
      <c r="Q74" s="88"/>
      <c r="R74" s="88"/>
      <c r="S74" s="92"/>
      <c r="T74" s="92"/>
      <c r="U74" s="92"/>
      <c r="V74" s="92"/>
      <c r="W74" s="92"/>
      <c r="X74" s="92"/>
      <c r="Y74" s="93">
        <v>715041.28000000003</v>
      </c>
      <c r="Z74" s="93"/>
      <c r="AA74" s="93">
        <v>0</v>
      </c>
      <c r="AB74" s="93">
        <v>2206173.62</v>
      </c>
      <c r="AC74" s="93">
        <v>0</v>
      </c>
      <c r="AD74" s="93">
        <v>72848.75</v>
      </c>
      <c r="AE74" s="93">
        <v>0</v>
      </c>
      <c r="AF74" s="93">
        <v>322945</v>
      </c>
      <c r="AG74" s="93">
        <v>3256.93</v>
      </c>
      <c r="AH74" s="93">
        <v>1200</v>
      </c>
      <c r="AI74" s="93">
        <v>0</v>
      </c>
      <c r="AJ74" s="93">
        <v>82368.58</v>
      </c>
      <c r="AK74" s="93">
        <v>0</v>
      </c>
      <c r="AL74" s="93">
        <v>0</v>
      </c>
      <c r="AM74" s="93">
        <v>0</v>
      </c>
      <c r="AN74" s="93">
        <v>32912.720000000001</v>
      </c>
      <c r="AO74" s="93">
        <v>0</v>
      </c>
      <c r="AP74" s="93">
        <v>0</v>
      </c>
      <c r="AQ74" s="93">
        <v>0</v>
      </c>
      <c r="AR74" s="93">
        <v>0</v>
      </c>
      <c r="AS74" s="93">
        <v>0</v>
      </c>
      <c r="AT74" s="93">
        <v>0</v>
      </c>
      <c r="AU74" s="93">
        <v>53312.51</v>
      </c>
      <c r="AV74" s="93">
        <v>60880</v>
      </c>
      <c r="AW74" s="93">
        <v>1139516.1399999999</v>
      </c>
      <c r="AX74" s="93">
        <v>0</v>
      </c>
      <c r="AY74" s="93">
        <v>468265.4</v>
      </c>
      <c r="AZ74" s="93">
        <v>0</v>
      </c>
      <c r="BA74" s="93">
        <v>171626.2</v>
      </c>
      <c r="BB74" s="93">
        <v>0</v>
      </c>
      <c r="BC74" s="93">
        <v>117154.3</v>
      </c>
      <c r="BD74" s="93">
        <v>2120</v>
      </c>
      <c r="BE74" s="93">
        <v>6359</v>
      </c>
      <c r="BF74" s="93">
        <v>0</v>
      </c>
      <c r="BG74" s="93">
        <v>0</v>
      </c>
      <c r="BH74" s="93">
        <v>68518.91</v>
      </c>
      <c r="BI74" s="93">
        <v>2155.75</v>
      </c>
      <c r="BJ74" s="93">
        <v>35018.06</v>
      </c>
      <c r="BK74" s="93">
        <v>2137.9</v>
      </c>
      <c r="BL74" s="93">
        <v>48605.4</v>
      </c>
      <c r="BM74" s="93">
        <v>0</v>
      </c>
      <c r="BN74" s="93">
        <v>8959.9599999999991</v>
      </c>
      <c r="BO74" s="93">
        <v>109035.7000000001</v>
      </c>
      <c r="BP74" s="93">
        <v>5304.41</v>
      </c>
      <c r="BQ74" s="93">
        <v>84.14</v>
      </c>
      <c r="BR74" s="93">
        <v>101801.26</v>
      </c>
      <c r="BS74" s="93">
        <v>8549.41</v>
      </c>
      <c r="BT74" s="93">
        <v>6486</v>
      </c>
      <c r="BU74" s="93">
        <v>129378.94</v>
      </c>
      <c r="BV74" s="93">
        <v>30470</v>
      </c>
      <c r="BW74" s="93">
        <v>13207.93</v>
      </c>
      <c r="BX74" s="93">
        <v>114190.35</v>
      </c>
      <c r="BY74" s="93">
        <v>0</v>
      </c>
      <c r="BZ74" s="93">
        <v>0</v>
      </c>
      <c r="CA74" s="93"/>
      <c r="CB74" s="93">
        <v>0</v>
      </c>
      <c r="CC74" s="93">
        <v>0</v>
      </c>
      <c r="CD74" s="93">
        <v>9216.4500000000007</v>
      </c>
      <c r="CE74" s="93">
        <v>0</v>
      </c>
      <c r="CF74" s="93">
        <v>0</v>
      </c>
      <c r="CG74" s="93">
        <v>0</v>
      </c>
      <c r="CH74" s="93">
        <v>0</v>
      </c>
      <c r="CI74" s="93">
        <v>9216.4500000000007</v>
      </c>
      <c r="CJ74" s="93">
        <v>14.19</v>
      </c>
      <c r="CK74" s="93"/>
      <c r="CL74" s="93">
        <v>961994.23000000045</v>
      </c>
      <c r="CM74" s="93"/>
      <c r="CN74" s="93">
        <v>-14.190000000000509</v>
      </c>
      <c r="CO74" s="93">
        <v>0</v>
      </c>
      <c r="CP74" s="93">
        <v>0</v>
      </c>
      <c r="CQ74" s="93">
        <v>0</v>
      </c>
      <c r="CR74" s="100"/>
      <c r="CS74" s="95">
        <v>961994.23000000021</v>
      </c>
      <c r="CT74" s="95">
        <v>0</v>
      </c>
      <c r="CU74" s="96">
        <v>962008.42</v>
      </c>
      <c r="CV74" s="96">
        <v>-14.19</v>
      </c>
      <c r="CW74" s="96">
        <v>-14.189999999827705</v>
      </c>
      <c r="CX74" s="95">
        <v>-14.19</v>
      </c>
      <c r="CY74" s="95">
        <v>961994.2300000001</v>
      </c>
      <c r="CZ74" s="97">
        <v>5.0981441290787188E-13</v>
      </c>
      <c r="DA74" s="95">
        <v>5.0981441290787188E-13</v>
      </c>
      <c r="DB74" s="95">
        <v>0</v>
      </c>
      <c r="DC74" s="95">
        <v>-1.999999990221113E-2</v>
      </c>
      <c r="DD74" s="96">
        <v>-14.19</v>
      </c>
      <c r="DF74" s="95">
        <v>1.7229417892394849E-10</v>
      </c>
      <c r="DI74" s="95">
        <v>961994.23000000021</v>
      </c>
      <c r="DJ74" s="95">
        <v>0</v>
      </c>
      <c r="DK74" s="96">
        <v>962008.42</v>
      </c>
      <c r="DL74" s="96">
        <v>-14.19</v>
      </c>
      <c r="DQ74" s="88">
        <v>3303320</v>
      </c>
      <c r="DT74" s="95">
        <f t="shared" si="17"/>
        <v>2835898.1100000003</v>
      </c>
      <c r="DU74" s="95">
        <f t="shared" si="18"/>
        <v>2588945.16</v>
      </c>
      <c r="DV74" s="95">
        <f t="shared" si="19"/>
        <v>246952.95000000019</v>
      </c>
      <c r="DW74" s="95">
        <f t="shared" si="20"/>
        <v>9216.4500000000007</v>
      </c>
      <c r="DX74" s="95">
        <f t="shared" si="21"/>
        <v>9230.6400000000012</v>
      </c>
      <c r="DY74" s="95">
        <f t="shared" ref="DY74:DY102" si="23">DW74-DX74</f>
        <v>-14.190000000000509</v>
      </c>
      <c r="EA74" s="95">
        <f t="shared" ref="EA74:EA103" si="24">SUM(Y74:Z74)</f>
        <v>715041.28000000003</v>
      </c>
      <c r="EB74" s="95">
        <f t="shared" ref="EB74:EB103" si="25">SUM(AB74:AV74)-SUM(AW74:CA74)</f>
        <v>246952.95000000019</v>
      </c>
      <c r="EC74" s="95">
        <f t="shared" ref="EC74:EC103" si="26">EA74+EB74</f>
        <v>961994.23000000021</v>
      </c>
      <c r="ED74" s="95">
        <v>961994.23000000021</v>
      </c>
      <c r="EE74" s="95">
        <f t="shared" si="22"/>
        <v>0</v>
      </c>
      <c r="EF74" s="95"/>
      <c r="EG74" s="95">
        <f t="shared" ref="EG74:EG103" si="27">AA74</f>
        <v>0</v>
      </c>
      <c r="EH74" s="95">
        <f t="shared" si="16"/>
        <v>-14.190000000000509</v>
      </c>
      <c r="EI74" s="95">
        <f t="shared" ref="EI74:EI103" si="28">EG74+EH74</f>
        <v>-14.190000000000509</v>
      </c>
      <c r="EJ74" s="97">
        <v>0</v>
      </c>
      <c r="EK74" s="95">
        <f t="shared" ref="EK74:EK103" si="29">EJ74-EI74</f>
        <v>14.190000000000509</v>
      </c>
    </row>
    <row r="75" spans="1:141" s="87" customFormat="1" x14ac:dyDescent="0.35">
      <c r="A75" s="87" t="str">
        <f>_xlfn.XLOOKUP(C75,[1]Adjustment!B:B,[1]Adjustment!H:H,0,0)</f>
        <v>Agree</v>
      </c>
      <c r="B75" s="87">
        <v>3321</v>
      </c>
      <c r="C75" s="88">
        <v>3303321</v>
      </c>
      <c r="D75" s="98" t="s">
        <v>266</v>
      </c>
      <c r="E75" s="89" t="s">
        <v>267</v>
      </c>
      <c r="F75" s="101"/>
      <c r="G75" s="99"/>
      <c r="H75" s="88"/>
      <c r="I75" s="88"/>
      <c r="J75" s="88"/>
      <c r="K75" s="88"/>
      <c r="L75" s="88"/>
      <c r="M75" s="88"/>
      <c r="N75" s="88"/>
      <c r="O75" s="88"/>
      <c r="P75" s="88"/>
      <c r="Q75" s="88"/>
      <c r="R75" s="88"/>
      <c r="S75" s="92"/>
      <c r="T75" s="92"/>
      <c r="U75" s="92"/>
      <c r="V75" s="92"/>
      <c r="W75" s="92"/>
      <c r="X75" s="92"/>
      <c r="Y75" s="93">
        <v>203000.78</v>
      </c>
      <c r="Z75" s="93"/>
      <c r="AA75" s="93">
        <v>0</v>
      </c>
      <c r="AB75" s="93">
        <v>2034337.35</v>
      </c>
      <c r="AC75" s="93">
        <v>0</v>
      </c>
      <c r="AD75" s="93">
        <v>69600</v>
      </c>
      <c r="AE75" s="93">
        <v>0</v>
      </c>
      <c r="AF75" s="93">
        <v>225145.5</v>
      </c>
      <c r="AG75" s="93">
        <v>856.93</v>
      </c>
      <c r="AH75" s="93">
        <v>0</v>
      </c>
      <c r="AI75" s="93">
        <v>0</v>
      </c>
      <c r="AJ75" s="93">
        <v>23697.56</v>
      </c>
      <c r="AK75" s="93">
        <v>0</v>
      </c>
      <c r="AL75" s="93">
        <v>0</v>
      </c>
      <c r="AM75" s="93">
        <v>0</v>
      </c>
      <c r="AN75" s="93">
        <v>2148.84</v>
      </c>
      <c r="AO75" s="93">
        <v>3718.2</v>
      </c>
      <c r="AP75" s="93">
        <v>0</v>
      </c>
      <c r="AQ75" s="93">
        <v>0</v>
      </c>
      <c r="AR75" s="93">
        <v>0</v>
      </c>
      <c r="AS75" s="93">
        <v>0</v>
      </c>
      <c r="AT75" s="93">
        <v>0</v>
      </c>
      <c r="AU75" s="93">
        <v>15533.88</v>
      </c>
      <c r="AV75" s="93">
        <v>54122</v>
      </c>
      <c r="AW75" s="93">
        <v>1021790.24</v>
      </c>
      <c r="AX75" s="93">
        <v>0</v>
      </c>
      <c r="AY75" s="93">
        <v>412335.56</v>
      </c>
      <c r="AZ75" s="93">
        <v>57642.82</v>
      </c>
      <c r="BA75" s="93">
        <v>96992.39</v>
      </c>
      <c r="BB75" s="93">
        <v>0</v>
      </c>
      <c r="BC75" s="93">
        <v>28517.89</v>
      </c>
      <c r="BD75" s="93">
        <v>0</v>
      </c>
      <c r="BE75" s="93">
        <v>17378.95</v>
      </c>
      <c r="BF75" s="93">
        <v>0</v>
      </c>
      <c r="BG75" s="93">
        <v>0</v>
      </c>
      <c r="BH75" s="93">
        <v>43305.43</v>
      </c>
      <c r="BI75" s="93">
        <v>0</v>
      </c>
      <c r="BJ75" s="93">
        <v>17156.03</v>
      </c>
      <c r="BK75" s="93">
        <v>1915.9</v>
      </c>
      <c r="BL75" s="93">
        <v>60955.03</v>
      </c>
      <c r="BM75" s="93">
        <v>0</v>
      </c>
      <c r="BN75" s="93">
        <v>19339.810000000001</v>
      </c>
      <c r="BO75" s="93">
        <v>63473.360000000095</v>
      </c>
      <c r="BP75" s="93">
        <v>9152.93</v>
      </c>
      <c r="BQ75" s="93">
        <v>29764.86</v>
      </c>
      <c r="BR75" s="93">
        <v>56582.25</v>
      </c>
      <c r="BS75" s="93">
        <v>14747.35</v>
      </c>
      <c r="BT75" s="93">
        <v>35364.9</v>
      </c>
      <c r="BU75" s="93">
        <v>172340.56</v>
      </c>
      <c r="BV75" s="93">
        <v>185460.22</v>
      </c>
      <c r="BW75" s="93">
        <v>220</v>
      </c>
      <c r="BX75" s="93">
        <v>49686.89</v>
      </c>
      <c r="BY75" s="93">
        <v>0</v>
      </c>
      <c r="BZ75" s="93">
        <v>0</v>
      </c>
      <c r="CA75" s="93"/>
      <c r="CB75" s="93">
        <v>0</v>
      </c>
      <c r="CC75" s="93">
        <v>0</v>
      </c>
      <c r="CD75" s="93">
        <v>9034.2000000000007</v>
      </c>
      <c r="CE75" s="93">
        <v>0</v>
      </c>
      <c r="CF75" s="93">
        <v>0</v>
      </c>
      <c r="CG75" s="93">
        <v>0</v>
      </c>
      <c r="CH75" s="93">
        <v>0</v>
      </c>
      <c r="CI75" s="93">
        <v>9034.2000000000007</v>
      </c>
      <c r="CJ75" s="93">
        <v>0</v>
      </c>
      <c r="CK75" s="93"/>
      <c r="CL75" s="93">
        <v>238037.66999999993</v>
      </c>
      <c r="CM75" s="93"/>
      <c r="CN75" s="93">
        <v>0</v>
      </c>
      <c r="CO75" s="93">
        <v>0</v>
      </c>
      <c r="CP75" s="93">
        <v>0</v>
      </c>
      <c r="CQ75" s="93">
        <v>0</v>
      </c>
      <c r="CR75" s="100"/>
      <c r="CS75" s="95">
        <v>238037.67000000013</v>
      </c>
      <c r="CT75" s="95">
        <v>0</v>
      </c>
      <c r="CU75" s="96">
        <v>238037.67</v>
      </c>
      <c r="CV75" s="96">
        <v>0</v>
      </c>
      <c r="CW75" s="96">
        <v>0</v>
      </c>
      <c r="CX75" s="95">
        <v>0</v>
      </c>
      <c r="CY75" s="95">
        <v>238037.67</v>
      </c>
      <c r="CZ75" s="97">
        <v>0</v>
      </c>
      <c r="DA75" s="95">
        <v>0</v>
      </c>
      <c r="DB75" s="95">
        <v>0</v>
      </c>
      <c r="DC75" s="95">
        <v>-1.999999990221113E-2</v>
      </c>
      <c r="DD75" s="96"/>
      <c r="DF75" s="95">
        <v>1.1641532182693481E-10</v>
      </c>
      <c r="DI75" s="95">
        <v>238037.67000000013</v>
      </c>
      <c r="DJ75" s="95">
        <v>0</v>
      </c>
      <c r="DK75" s="96">
        <v>238037.67</v>
      </c>
      <c r="DL75" s="96">
        <v>0</v>
      </c>
      <c r="DQ75" s="88">
        <v>3303321</v>
      </c>
      <c r="DT75" s="95">
        <f t="shared" si="17"/>
        <v>2429160.2600000002</v>
      </c>
      <c r="DU75" s="95">
        <f t="shared" si="18"/>
        <v>2394123.37</v>
      </c>
      <c r="DV75" s="95">
        <f t="shared" si="19"/>
        <v>35036.89000000013</v>
      </c>
      <c r="DW75" s="95">
        <f t="shared" si="20"/>
        <v>9034.2000000000007</v>
      </c>
      <c r="DX75" s="95">
        <f t="shared" si="21"/>
        <v>9034.2000000000007</v>
      </c>
      <c r="DY75" s="95">
        <f t="shared" si="23"/>
        <v>0</v>
      </c>
      <c r="EA75" s="95">
        <f t="shared" si="24"/>
        <v>203000.78</v>
      </c>
      <c r="EB75" s="95">
        <f t="shared" si="25"/>
        <v>35036.89000000013</v>
      </c>
      <c r="EC75" s="95">
        <f t="shared" si="26"/>
        <v>238037.67000000013</v>
      </c>
      <c r="ED75" s="95">
        <v>238037.67000000013</v>
      </c>
      <c r="EE75" s="95">
        <f t="shared" si="22"/>
        <v>0</v>
      </c>
      <c r="EF75" s="95"/>
      <c r="EG75" s="95">
        <f t="shared" si="27"/>
        <v>0</v>
      </c>
      <c r="EH75" s="95">
        <f t="shared" si="16"/>
        <v>0</v>
      </c>
      <c r="EI75" s="95">
        <f t="shared" si="28"/>
        <v>0</v>
      </c>
      <c r="EJ75" s="97">
        <v>0</v>
      </c>
      <c r="EK75" s="95">
        <f t="shared" si="29"/>
        <v>0</v>
      </c>
    </row>
    <row r="76" spans="1:141" s="87" customFormat="1" x14ac:dyDescent="0.35">
      <c r="A76" s="87" t="str">
        <f>_xlfn.XLOOKUP(C76,[1]Adjustment!B:B,[1]Adjustment!H:H,0,0)</f>
        <v>Agree</v>
      </c>
      <c r="B76" s="87">
        <v>3328</v>
      </c>
      <c r="C76" s="88">
        <v>3303328</v>
      </c>
      <c r="D76" s="98" t="s">
        <v>268</v>
      </c>
      <c r="E76" s="89" t="s">
        <v>269</v>
      </c>
      <c r="F76" s="101"/>
      <c r="G76" s="99"/>
      <c r="H76" s="88"/>
      <c r="I76" s="88"/>
      <c r="J76" s="88"/>
      <c r="K76" s="88"/>
      <c r="L76" s="88"/>
      <c r="M76" s="88"/>
      <c r="N76" s="88"/>
      <c r="O76" s="88"/>
      <c r="P76" s="88"/>
      <c r="Q76" s="88"/>
      <c r="R76" s="88"/>
      <c r="S76" s="92"/>
      <c r="T76" s="92"/>
      <c r="U76" s="92"/>
      <c r="V76" s="92"/>
      <c r="W76" s="92"/>
      <c r="X76" s="92"/>
      <c r="Y76" s="93">
        <v>302340.18</v>
      </c>
      <c r="Z76" s="93"/>
      <c r="AA76" s="93">
        <v>0</v>
      </c>
      <c r="AB76" s="93">
        <v>1173802.77</v>
      </c>
      <c r="AC76" s="93">
        <v>0</v>
      </c>
      <c r="AD76" s="93">
        <v>34563.85</v>
      </c>
      <c r="AE76" s="93">
        <v>0</v>
      </c>
      <c r="AF76" s="93">
        <v>75280</v>
      </c>
      <c r="AG76" s="93">
        <v>3256.93</v>
      </c>
      <c r="AH76" s="93">
        <v>0</v>
      </c>
      <c r="AI76" s="93">
        <v>0</v>
      </c>
      <c r="AJ76" s="93">
        <v>82359.109999999884</v>
      </c>
      <c r="AK76" s="93">
        <v>0</v>
      </c>
      <c r="AL76" s="93">
        <v>0</v>
      </c>
      <c r="AM76" s="93">
        <v>0</v>
      </c>
      <c r="AN76" s="93">
        <v>31598.02</v>
      </c>
      <c r="AO76" s="93">
        <v>1000</v>
      </c>
      <c r="AP76" s="93">
        <v>0</v>
      </c>
      <c r="AQ76" s="93">
        <v>0</v>
      </c>
      <c r="AR76" s="93">
        <v>0</v>
      </c>
      <c r="AS76" s="93">
        <v>0</v>
      </c>
      <c r="AT76" s="93">
        <v>0</v>
      </c>
      <c r="AU76" s="93">
        <v>12390.76</v>
      </c>
      <c r="AV76" s="93">
        <v>53885</v>
      </c>
      <c r="AW76" s="93">
        <v>722625.94000000029</v>
      </c>
      <c r="AX76" s="93">
        <v>0</v>
      </c>
      <c r="AY76" s="93">
        <v>105191.51</v>
      </c>
      <c r="AZ76" s="93">
        <v>7122.49</v>
      </c>
      <c r="BA76" s="93">
        <v>135750.45000000001</v>
      </c>
      <c r="BB76" s="93">
        <v>0</v>
      </c>
      <c r="BC76" s="93">
        <v>23933.37</v>
      </c>
      <c r="BD76" s="93">
        <v>410.35</v>
      </c>
      <c r="BE76" s="93">
        <v>0</v>
      </c>
      <c r="BF76" s="93">
        <v>0</v>
      </c>
      <c r="BG76" s="93">
        <v>0</v>
      </c>
      <c r="BH76" s="93">
        <v>15151.12</v>
      </c>
      <c r="BI76" s="93">
        <v>9899.0300000000007</v>
      </c>
      <c r="BJ76" s="93">
        <v>1291.23</v>
      </c>
      <c r="BK76" s="93">
        <v>4605.5</v>
      </c>
      <c r="BL76" s="93">
        <v>19444.13</v>
      </c>
      <c r="BM76" s="93">
        <v>0</v>
      </c>
      <c r="BN76" s="93">
        <v>5011.66</v>
      </c>
      <c r="BO76" s="93">
        <v>156234.87</v>
      </c>
      <c r="BP76" s="93">
        <v>0</v>
      </c>
      <c r="BQ76" s="93">
        <v>120.2</v>
      </c>
      <c r="BR76" s="93">
        <v>31657.8</v>
      </c>
      <c r="BS76" s="93">
        <v>8985.9699999999993</v>
      </c>
      <c r="BT76" s="93">
        <v>949.6</v>
      </c>
      <c r="BU76" s="93">
        <v>126749.73</v>
      </c>
      <c r="BV76" s="93">
        <v>1452.39</v>
      </c>
      <c r="BW76" s="93">
        <v>0</v>
      </c>
      <c r="BX76" s="93">
        <v>153638.15</v>
      </c>
      <c r="BY76" s="93">
        <v>0</v>
      </c>
      <c r="BZ76" s="93">
        <v>0</v>
      </c>
      <c r="CA76" s="93"/>
      <c r="CB76" s="93">
        <v>0</v>
      </c>
      <c r="CC76" s="93">
        <v>0</v>
      </c>
      <c r="CD76" s="93">
        <v>7006.37</v>
      </c>
      <c r="CE76" s="93">
        <v>0</v>
      </c>
      <c r="CF76" s="93">
        <v>0</v>
      </c>
      <c r="CG76" s="93">
        <v>0</v>
      </c>
      <c r="CH76" s="93">
        <v>0</v>
      </c>
      <c r="CI76" s="93">
        <v>7006.37</v>
      </c>
      <c r="CJ76" s="93">
        <v>0</v>
      </c>
      <c r="CK76" s="93"/>
      <c r="CL76" s="93">
        <v>240251.12999999966</v>
      </c>
      <c r="CM76" s="93"/>
      <c r="CN76" s="93">
        <v>0</v>
      </c>
      <c r="CO76" s="93">
        <v>0</v>
      </c>
      <c r="CP76" s="93">
        <v>0</v>
      </c>
      <c r="CQ76" s="93">
        <v>0</v>
      </c>
      <c r="CR76" s="100"/>
      <c r="CS76" s="95">
        <v>238108.96000000002</v>
      </c>
      <c r="CT76" s="95">
        <v>2.5579538487363607E-13</v>
      </c>
      <c r="CU76" s="96">
        <v>238218.68</v>
      </c>
      <c r="CV76" s="96">
        <v>-109.72</v>
      </c>
      <c r="CW76" s="96">
        <v>-109.71999999997206</v>
      </c>
      <c r="CX76" s="95">
        <v>-109.72000000000025</v>
      </c>
      <c r="CY76" s="95">
        <v>238108.96</v>
      </c>
      <c r="CZ76" s="97">
        <v>0</v>
      </c>
      <c r="DA76" s="95">
        <v>0</v>
      </c>
      <c r="DB76" s="95">
        <v>9364.3700000001118</v>
      </c>
      <c r="DC76" s="95">
        <v>0</v>
      </c>
      <c r="DD76" s="96">
        <v>-109.72</v>
      </c>
      <c r="DF76" s="95">
        <v>2.7938540370087139E-11</v>
      </c>
      <c r="DI76" s="95">
        <v>238108.96000000002</v>
      </c>
      <c r="DJ76" s="95">
        <v>2.5579538487363607E-13</v>
      </c>
      <c r="DK76" s="96">
        <v>238218.68</v>
      </c>
      <c r="DL76" s="96">
        <v>-109.72</v>
      </c>
      <c r="DQ76" s="88">
        <v>3303328</v>
      </c>
      <c r="DT76" s="95">
        <f t="shared" si="17"/>
        <v>1468136.44</v>
      </c>
      <c r="DU76" s="95">
        <f t="shared" si="18"/>
        <v>1530225.4900000002</v>
      </c>
      <c r="DV76" s="95">
        <f t="shared" si="19"/>
        <v>-62089.050000000279</v>
      </c>
      <c r="DW76" s="95">
        <f t="shared" si="20"/>
        <v>7006.37</v>
      </c>
      <c r="DX76" s="95">
        <f t="shared" si="21"/>
        <v>7006.37</v>
      </c>
      <c r="DY76" s="95">
        <f t="shared" si="23"/>
        <v>0</v>
      </c>
      <c r="EA76" s="95">
        <f t="shared" si="24"/>
        <v>302340.18</v>
      </c>
      <c r="EB76" s="95">
        <f t="shared" si="25"/>
        <v>-62089.050000000279</v>
      </c>
      <c r="EC76" s="95">
        <f t="shared" si="26"/>
        <v>240251.12999999971</v>
      </c>
      <c r="ED76" s="95">
        <v>240251.12999999995</v>
      </c>
      <c r="EE76" s="95">
        <f t="shared" si="22"/>
        <v>-2.3283064365386963E-10</v>
      </c>
      <c r="EF76" s="95"/>
      <c r="EG76" s="95">
        <f t="shared" si="27"/>
        <v>0</v>
      </c>
      <c r="EH76" s="95">
        <f t="shared" si="16"/>
        <v>0</v>
      </c>
      <c r="EI76" s="95">
        <f>EG76+EH76</f>
        <v>0</v>
      </c>
      <c r="EJ76" s="97">
        <v>0</v>
      </c>
      <c r="EK76" s="95">
        <f t="shared" si="29"/>
        <v>0</v>
      </c>
    </row>
    <row r="77" spans="1:141" s="87" customFormat="1" x14ac:dyDescent="0.35">
      <c r="A77" s="87" t="str">
        <f>_xlfn.XLOOKUP(C77,[1]Adjustment!B:B,[1]Adjustment!H:H,0,0)</f>
        <v>Agree</v>
      </c>
      <c r="B77" s="87">
        <v>3351</v>
      </c>
      <c r="C77" s="88">
        <v>3303351</v>
      </c>
      <c r="D77" s="98" t="s">
        <v>270</v>
      </c>
      <c r="E77" s="89" t="s">
        <v>271</v>
      </c>
      <c r="F77" s="101"/>
      <c r="G77" s="99"/>
      <c r="H77" s="88"/>
      <c r="I77" s="88"/>
      <c r="J77" s="88"/>
      <c r="K77" s="88"/>
      <c r="L77" s="88"/>
      <c r="M77" s="88"/>
      <c r="N77" s="88"/>
      <c r="O77" s="88"/>
      <c r="P77" s="88"/>
      <c r="Q77" s="88"/>
      <c r="R77" s="88"/>
      <c r="S77" s="92"/>
      <c r="T77" s="92"/>
      <c r="U77" s="92"/>
      <c r="V77" s="92"/>
      <c r="W77" s="92"/>
      <c r="X77" s="92"/>
      <c r="Y77" s="93">
        <v>175170.15</v>
      </c>
      <c r="Z77" s="93"/>
      <c r="AA77" s="93">
        <v>0</v>
      </c>
      <c r="AB77" s="93">
        <v>1268307.08</v>
      </c>
      <c r="AC77" s="93">
        <v>0</v>
      </c>
      <c r="AD77" s="93">
        <v>38753.75</v>
      </c>
      <c r="AE77" s="93">
        <v>0</v>
      </c>
      <c r="AF77" s="93">
        <v>136391</v>
      </c>
      <c r="AG77" s="93">
        <v>856.93</v>
      </c>
      <c r="AH77" s="93">
        <v>0</v>
      </c>
      <c r="AI77" s="93">
        <v>0</v>
      </c>
      <c r="AJ77" s="93">
        <v>7174.0800000001955</v>
      </c>
      <c r="AK77" s="93">
        <v>0</v>
      </c>
      <c r="AL77" s="93">
        <v>0</v>
      </c>
      <c r="AM77" s="93">
        <v>0</v>
      </c>
      <c r="AN77" s="93">
        <v>22870.14</v>
      </c>
      <c r="AO77" s="93">
        <v>0</v>
      </c>
      <c r="AP77" s="93">
        <v>0</v>
      </c>
      <c r="AQ77" s="93">
        <v>0</v>
      </c>
      <c r="AR77" s="93">
        <v>0</v>
      </c>
      <c r="AS77" s="93">
        <v>0</v>
      </c>
      <c r="AT77" s="93">
        <v>0</v>
      </c>
      <c r="AU77" s="93">
        <v>22113.759999999998</v>
      </c>
      <c r="AV77" s="93">
        <v>43955</v>
      </c>
      <c r="AW77" s="93">
        <v>771213.63000000024</v>
      </c>
      <c r="AX77" s="93">
        <v>0</v>
      </c>
      <c r="AY77" s="93">
        <v>108871.8</v>
      </c>
      <c r="AZ77" s="93">
        <v>6213.8</v>
      </c>
      <c r="BA77" s="93">
        <v>166647.20000000001</v>
      </c>
      <c r="BB77" s="93">
        <v>386.78</v>
      </c>
      <c r="BC77" s="93">
        <v>13826.18</v>
      </c>
      <c r="BD77" s="93">
        <v>499</v>
      </c>
      <c r="BE77" s="93">
        <v>6783.68</v>
      </c>
      <c r="BF77" s="93">
        <v>0</v>
      </c>
      <c r="BG77" s="93">
        <v>0</v>
      </c>
      <c r="BH77" s="93">
        <v>8636.06</v>
      </c>
      <c r="BI77" s="93">
        <v>1271.74</v>
      </c>
      <c r="BJ77" s="93">
        <v>0</v>
      </c>
      <c r="BK77" s="93">
        <v>0</v>
      </c>
      <c r="BL77" s="93">
        <v>30637.84</v>
      </c>
      <c r="BM77" s="93">
        <v>0</v>
      </c>
      <c r="BN77" s="93">
        <v>5919.55</v>
      </c>
      <c r="BO77" s="93">
        <v>64932.680000000008</v>
      </c>
      <c r="BP77" s="93">
        <v>14619.55</v>
      </c>
      <c r="BQ77" s="93">
        <v>0</v>
      </c>
      <c r="BR77" s="93">
        <v>24902.02</v>
      </c>
      <c r="BS77" s="93">
        <v>5703.99</v>
      </c>
      <c r="BT77" s="93">
        <v>8935</v>
      </c>
      <c r="BU77" s="93">
        <v>83711.92</v>
      </c>
      <c r="BV77" s="93">
        <v>0</v>
      </c>
      <c r="BW77" s="93">
        <v>0</v>
      </c>
      <c r="BX77" s="93">
        <v>83551.86</v>
      </c>
      <c r="BY77" s="93">
        <v>0</v>
      </c>
      <c r="BZ77" s="93">
        <v>0</v>
      </c>
      <c r="CA77" s="93"/>
      <c r="CB77" s="93">
        <v>0</v>
      </c>
      <c r="CC77" s="93">
        <v>0</v>
      </c>
      <c r="CD77" s="93">
        <v>7046.46</v>
      </c>
      <c r="CE77" s="93">
        <v>0</v>
      </c>
      <c r="CF77" s="93">
        <v>0</v>
      </c>
      <c r="CG77" s="93">
        <v>0</v>
      </c>
      <c r="CH77" s="93">
        <v>0</v>
      </c>
      <c r="CI77" s="93">
        <v>7046.46</v>
      </c>
      <c r="CJ77" s="93">
        <v>0</v>
      </c>
      <c r="CK77" s="93"/>
      <c r="CL77" s="93">
        <v>308327.60999999964</v>
      </c>
      <c r="CM77" s="93"/>
      <c r="CN77" s="93">
        <v>0</v>
      </c>
      <c r="CO77" s="93">
        <v>0</v>
      </c>
      <c r="CP77" s="93">
        <v>0</v>
      </c>
      <c r="CQ77" s="93">
        <v>0</v>
      </c>
      <c r="CR77" s="100"/>
      <c r="CS77" s="95">
        <v>308327.61</v>
      </c>
      <c r="CT77" s="95">
        <v>0</v>
      </c>
      <c r="CU77" s="96">
        <v>308327.61</v>
      </c>
      <c r="CV77" s="96">
        <v>0</v>
      </c>
      <c r="CW77" s="96">
        <v>0</v>
      </c>
      <c r="CX77" s="95">
        <v>0</v>
      </c>
      <c r="CY77" s="95">
        <v>308327.61</v>
      </c>
      <c r="CZ77" s="97">
        <v>0</v>
      </c>
      <c r="DA77" s="95">
        <v>0</v>
      </c>
      <c r="DB77" s="95">
        <v>3.9999999804422259E-2</v>
      </c>
      <c r="DC77" s="95">
        <v>0</v>
      </c>
      <c r="DD77" s="96"/>
      <c r="DF77" s="95">
        <v>0</v>
      </c>
      <c r="DI77" s="95">
        <v>308327.61</v>
      </c>
      <c r="DJ77" s="95">
        <v>0</v>
      </c>
      <c r="DK77" s="96">
        <v>308327.61</v>
      </c>
      <c r="DL77" s="96">
        <v>0</v>
      </c>
      <c r="DQ77" s="88">
        <v>3303351</v>
      </c>
      <c r="DT77" s="95">
        <f t="shared" si="17"/>
        <v>1540421.7400000002</v>
      </c>
      <c r="DU77" s="95">
        <f t="shared" si="18"/>
        <v>1407264.2800000005</v>
      </c>
      <c r="DV77" s="95">
        <f t="shared" si="19"/>
        <v>133157.45999999973</v>
      </c>
      <c r="DW77" s="95">
        <f t="shared" si="20"/>
        <v>7046.46</v>
      </c>
      <c r="DX77" s="95">
        <f t="shared" si="21"/>
        <v>7046.46</v>
      </c>
      <c r="DY77" s="95">
        <f t="shared" si="23"/>
        <v>0</v>
      </c>
      <c r="EA77" s="95">
        <f t="shared" si="24"/>
        <v>175170.15</v>
      </c>
      <c r="EB77" s="95">
        <f t="shared" si="25"/>
        <v>133157.45999999973</v>
      </c>
      <c r="EC77" s="95">
        <f t="shared" si="26"/>
        <v>308327.60999999975</v>
      </c>
      <c r="ED77" s="95">
        <v>308327.60999999975</v>
      </c>
      <c r="EE77" s="95">
        <f t="shared" si="22"/>
        <v>0</v>
      </c>
      <c r="EF77" s="95"/>
      <c r="EG77" s="95">
        <f t="shared" si="27"/>
        <v>0</v>
      </c>
      <c r="EH77" s="95">
        <f t="shared" si="16"/>
        <v>0</v>
      </c>
      <c r="EI77" s="95">
        <f t="shared" si="28"/>
        <v>0</v>
      </c>
      <c r="EJ77" s="97">
        <v>0</v>
      </c>
      <c r="EK77" s="95">
        <f t="shared" si="29"/>
        <v>0</v>
      </c>
    </row>
    <row r="78" spans="1:141" s="87" customFormat="1" x14ac:dyDescent="0.35">
      <c r="A78" s="87" t="str">
        <f>_xlfn.XLOOKUP(C78,[1]Adjustment!B:B,[1]Adjustment!H:H,0,0)</f>
        <v>Agree</v>
      </c>
      <c r="B78" s="87">
        <v>3355</v>
      </c>
      <c r="C78" s="88">
        <v>3303355</v>
      </c>
      <c r="D78" s="98" t="s">
        <v>272</v>
      </c>
      <c r="E78" s="89" t="s">
        <v>273</v>
      </c>
      <c r="F78" s="101"/>
      <c r="G78" s="99"/>
      <c r="H78" s="88"/>
      <c r="I78" s="88"/>
      <c r="J78" s="88"/>
      <c r="K78" s="88"/>
      <c r="L78" s="88"/>
      <c r="M78" s="88"/>
      <c r="N78" s="88"/>
      <c r="O78" s="88"/>
      <c r="P78" s="88"/>
      <c r="Q78" s="88"/>
      <c r="R78" s="88"/>
      <c r="S78" s="92"/>
      <c r="T78" s="92"/>
      <c r="U78" s="92"/>
      <c r="V78" s="92"/>
      <c r="W78" s="92"/>
      <c r="X78" s="92"/>
      <c r="Y78" s="93">
        <v>165442.53</v>
      </c>
      <c r="Z78" s="93"/>
      <c r="AA78" s="93">
        <v>0</v>
      </c>
      <c r="AB78" s="93">
        <v>1942835.14</v>
      </c>
      <c r="AC78" s="93">
        <v>0</v>
      </c>
      <c r="AD78" s="93">
        <v>65462.400000000001</v>
      </c>
      <c r="AE78" s="93">
        <v>0</v>
      </c>
      <c r="AF78" s="93">
        <v>167261</v>
      </c>
      <c r="AG78" s="93">
        <v>16416.93</v>
      </c>
      <c r="AH78" s="93">
        <v>0</v>
      </c>
      <c r="AI78" s="93">
        <v>0</v>
      </c>
      <c r="AJ78" s="93">
        <v>172925.38999999987</v>
      </c>
      <c r="AK78" s="93">
        <v>0</v>
      </c>
      <c r="AL78" s="93">
        <v>0</v>
      </c>
      <c r="AM78" s="93">
        <v>0</v>
      </c>
      <c r="AN78" s="93">
        <v>25478.47</v>
      </c>
      <c r="AO78" s="93">
        <v>1654.09</v>
      </c>
      <c r="AP78" s="93">
        <v>0</v>
      </c>
      <c r="AQ78" s="93">
        <v>0</v>
      </c>
      <c r="AR78" s="93">
        <v>0</v>
      </c>
      <c r="AS78" s="93">
        <v>0</v>
      </c>
      <c r="AT78" s="93">
        <v>0</v>
      </c>
      <c r="AU78" s="93">
        <v>11548.13</v>
      </c>
      <c r="AV78" s="93">
        <v>73017</v>
      </c>
      <c r="AW78" s="93">
        <v>1041519.5299999996</v>
      </c>
      <c r="AX78" s="93">
        <v>0</v>
      </c>
      <c r="AY78" s="93">
        <v>324421.71000000002</v>
      </c>
      <c r="AZ78" s="93">
        <v>54329.33</v>
      </c>
      <c r="BA78" s="93">
        <v>192941.24</v>
      </c>
      <c r="BB78" s="93">
        <v>0</v>
      </c>
      <c r="BC78" s="93">
        <v>25988.400000000001</v>
      </c>
      <c r="BD78" s="93">
        <v>245</v>
      </c>
      <c r="BE78" s="93">
        <v>2995</v>
      </c>
      <c r="BF78" s="93">
        <v>0</v>
      </c>
      <c r="BG78" s="93">
        <v>0</v>
      </c>
      <c r="BH78" s="93">
        <v>12288.95</v>
      </c>
      <c r="BI78" s="93">
        <v>4542.0600000000004</v>
      </c>
      <c r="BJ78" s="93">
        <v>43352.959999999999</v>
      </c>
      <c r="BK78" s="93">
        <v>6942.16</v>
      </c>
      <c r="BL78" s="93">
        <v>65937.78</v>
      </c>
      <c r="BM78" s="93">
        <v>0</v>
      </c>
      <c r="BN78" s="93">
        <v>8655.7999999999993</v>
      </c>
      <c r="BO78" s="93">
        <v>69994.42</v>
      </c>
      <c r="BP78" s="93">
        <v>104.5</v>
      </c>
      <c r="BQ78" s="93">
        <v>492.82</v>
      </c>
      <c r="BR78" s="93">
        <v>83776.12</v>
      </c>
      <c r="BS78" s="93">
        <v>9020</v>
      </c>
      <c r="BT78" s="93">
        <v>5800</v>
      </c>
      <c r="BU78" s="93">
        <v>160310.85</v>
      </c>
      <c r="BV78" s="93">
        <v>31450.29</v>
      </c>
      <c r="BW78" s="93">
        <v>180</v>
      </c>
      <c r="BX78" s="93">
        <v>215495.77</v>
      </c>
      <c r="BY78" s="93">
        <v>0</v>
      </c>
      <c r="BZ78" s="93">
        <v>0</v>
      </c>
      <c r="CA78" s="93"/>
      <c r="CB78" s="93">
        <v>0</v>
      </c>
      <c r="CC78" s="93">
        <v>0</v>
      </c>
      <c r="CD78" s="93">
        <v>9070.65</v>
      </c>
      <c r="CE78" s="93">
        <v>0</v>
      </c>
      <c r="CF78" s="93">
        <v>0</v>
      </c>
      <c r="CG78" s="93">
        <v>0</v>
      </c>
      <c r="CH78" s="93">
        <v>0</v>
      </c>
      <c r="CI78" s="93">
        <v>9070.65</v>
      </c>
      <c r="CJ78" s="93">
        <v>0</v>
      </c>
      <c r="CK78" s="93"/>
      <c r="CL78" s="93">
        <v>281256.39000000013</v>
      </c>
      <c r="CM78" s="93"/>
      <c r="CN78" s="93">
        <v>0</v>
      </c>
      <c r="CO78" s="93">
        <v>0</v>
      </c>
      <c r="CP78" s="93">
        <v>0</v>
      </c>
      <c r="CQ78" s="93">
        <v>0</v>
      </c>
      <c r="CR78" s="100"/>
      <c r="CS78" s="95">
        <v>281256.3899999999</v>
      </c>
      <c r="CT78" s="95">
        <v>0</v>
      </c>
      <c r="CU78" s="96">
        <v>281256.39</v>
      </c>
      <c r="CV78" s="96">
        <v>0</v>
      </c>
      <c r="CW78" s="96">
        <v>0</v>
      </c>
      <c r="CX78" s="95">
        <v>0</v>
      </c>
      <c r="CY78" s="95">
        <v>281256.39</v>
      </c>
      <c r="CZ78" s="97">
        <v>0</v>
      </c>
      <c r="DA78" s="95">
        <v>0</v>
      </c>
      <c r="DB78" s="95">
        <v>3.0000000144354999E-2</v>
      </c>
      <c r="DC78" s="95">
        <v>0</v>
      </c>
      <c r="DD78" s="96"/>
      <c r="DF78" s="95">
        <v>-1.1641532182693481E-10</v>
      </c>
      <c r="DI78" s="95">
        <v>281256.3899999999</v>
      </c>
      <c r="DJ78" s="95">
        <v>0</v>
      </c>
      <c r="DK78" s="96">
        <v>281256.39</v>
      </c>
      <c r="DL78" s="96">
        <v>0</v>
      </c>
      <c r="DQ78" s="88">
        <v>3303355</v>
      </c>
      <c r="DT78" s="95">
        <f t="shared" si="17"/>
        <v>2476598.5499999998</v>
      </c>
      <c r="DU78" s="95">
        <f t="shared" si="18"/>
        <v>2360784.6899999995</v>
      </c>
      <c r="DV78" s="95">
        <f t="shared" si="19"/>
        <v>115813.86000000034</v>
      </c>
      <c r="DW78" s="95">
        <f t="shared" si="20"/>
        <v>9070.65</v>
      </c>
      <c r="DX78" s="95">
        <f t="shared" si="21"/>
        <v>9070.65</v>
      </c>
      <c r="DY78" s="95">
        <f t="shared" si="23"/>
        <v>0</v>
      </c>
      <c r="EA78" s="95">
        <f t="shared" si="24"/>
        <v>165442.53</v>
      </c>
      <c r="EB78" s="95">
        <f t="shared" si="25"/>
        <v>115813.86000000034</v>
      </c>
      <c r="EC78" s="95">
        <f t="shared" si="26"/>
        <v>281256.39000000036</v>
      </c>
      <c r="ED78" s="95">
        <v>281256.39000000036</v>
      </c>
      <c r="EE78" s="95">
        <f t="shared" si="22"/>
        <v>0</v>
      </c>
      <c r="EF78" s="95"/>
      <c r="EG78" s="95">
        <f t="shared" si="27"/>
        <v>0</v>
      </c>
      <c r="EH78" s="95">
        <f t="shared" si="16"/>
        <v>0</v>
      </c>
      <c r="EI78" s="95">
        <f t="shared" si="28"/>
        <v>0</v>
      </c>
      <c r="EJ78" s="97">
        <v>0</v>
      </c>
      <c r="EK78" s="95">
        <f t="shared" si="29"/>
        <v>0</v>
      </c>
    </row>
    <row r="79" spans="1:141" s="87" customFormat="1" x14ac:dyDescent="0.35">
      <c r="A79" s="87" t="str">
        <f>_xlfn.XLOOKUP(C79,[1]Adjustment!B:B,[1]Adjustment!H:H,0,0)</f>
        <v>Agree</v>
      </c>
      <c r="B79" s="87">
        <v>3371</v>
      </c>
      <c r="C79" s="88">
        <v>3303371</v>
      </c>
      <c r="D79" s="98" t="s">
        <v>274</v>
      </c>
      <c r="E79" s="89" t="s">
        <v>275</v>
      </c>
      <c r="F79" s="101"/>
      <c r="G79" s="99"/>
      <c r="H79" s="88"/>
      <c r="I79" s="88"/>
      <c r="J79" s="88"/>
      <c r="K79" s="88"/>
      <c r="L79" s="88"/>
      <c r="M79" s="88"/>
      <c r="N79" s="88"/>
      <c r="O79" s="88"/>
      <c r="P79" s="88"/>
      <c r="Q79" s="88"/>
      <c r="R79" s="88"/>
      <c r="S79" s="92"/>
      <c r="T79" s="92"/>
      <c r="U79" s="92"/>
      <c r="V79" s="92"/>
      <c r="W79" s="92"/>
      <c r="X79" s="92"/>
      <c r="Y79" s="93">
        <v>55937.72</v>
      </c>
      <c r="Z79" s="93"/>
      <c r="AA79" s="93">
        <v>0</v>
      </c>
      <c r="AB79" s="93">
        <v>1360223.55</v>
      </c>
      <c r="AC79" s="93">
        <v>0</v>
      </c>
      <c r="AD79" s="93">
        <v>44692.5</v>
      </c>
      <c r="AE79" s="93">
        <v>0</v>
      </c>
      <c r="AF79" s="93">
        <v>77000</v>
      </c>
      <c r="AG79" s="93">
        <v>14216.93</v>
      </c>
      <c r="AH79" s="93">
        <v>0</v>
      </c>
      <c r="AI79" s="93">
        <v>0</v>
      </c>
      <c r="AJ79" s="93">
        <v>53146.19</v>
      </c>
      <c r="AK79" s="93">
        <v>0</v>
      </c>
      <c r="AL79" s="93">
        <v>0</v>
      </c>
      <c r="AM79" s="93">
        <v>0</v>
      </c>
      <c r="AN79" s="93">
        <v>8053.38</v>
      </c>
      <c r="AO79" s="93">
        <v>0</v>
      </c>
      <c r="AP79" s="93">
        <v>0</v>
      </c>
      <c r="AQ79" s="93">
        <v>0</v>
      </c>
      <c r="AR79" s="93">
        <v>0</v>
      </c>
      <c r="AS79" s="93">
        <v>0</v>
      </c>
      <c r="AT79" s="93">
        <v>0</v>
      </c>
      <c r="AU79" s="93">
        <v>11657.5</v>
      </c>
      <c r="AV79" s="93">
        <v>99542</v>
      </c>
      <c r="AW79" s="93">
        <v>708267.75</v>
      </c>
      <c r="AX79" s="93">
        <v>0</v>
      </c>
      <c r="AY79" s="93">
        <v>267405.63</v>
      </c>
      <c r="AZ79" s="93">
        <v>68015.47</v>
      </c>
      <c r="BA79" s="93">
        <v>81845.62</v>
      </c>
      <c r="BB79" s="93">
        <v>58153.89</v>
      </c>
      <c r="BC79" s="93">
        <v>54079.53</v>
      </c>
      <c r="BD79" s="93">
        <v>856.9</v>
      </c>
      <c r="BE79" s="93">
        <v>3340</v>
      </c>
      <c r="BF79" s="93">
        <v>0</v>
      </c>
      <c r="BG79" s="93">
        <v>0</v>
      </c>
      <c r="BH79" s="93">
        <v>56737.08</v>
      </c>
      <c r="BI79" s="93">
        <v>950</v>
      </c>
      <c r="BJ79" s="93">
        <v>3423.66</v>
      </c>
      <c r="BK79" s="93">
        <v>4065.64</v>
      </c>
      <c r="BL79" s="93">
        <v>30924.69</v>
      </c>
      <c r="BM79" s="93">
        <v>3050.31</v>
      </c>
      <c r="BN79" s="93">
        <v>6125.74</v>
      </c>
      <c r="BO79" s="93">
        <v>23099.279999999999</v>
      </c>
      <c r="BP79" s="93">
        <v>8074.75</v>
      </c>
      <c r="BQ79" s="93">
        <v>0</v>
      </c>
      <c r="BR79" s="93">
        <v>4844.2700000000004</v>
      </c>
      <c r="BS79" s="93">
        <v>4895</v>
      </c>
      <c r="BT79" s="93">
        <v>0</v>
      </c>
      <c r="BU79" s="93">
        <v>52264.39</v>
      </c>
      <c r="BV79" s="93">
        <v>37990.89</v>
      </c>
      <c r="BW79" s="93">
        <v>62324.36</v>
      </c>
      <c r="BX79" s="93">
        <v>92500.12</v>
      </c>
      <c r="BY79" s="93">
        <v>0</v>
      </c>
      <c r="BZ79" s="93">
        <v>0</v>
      </c>
      <c r="CA79" s="93"/>
      <c r="CB79" s="93">
        <v>0</v>
      </c>
      <c r="CC79" s="93">
        <v>0</v>
      </c>
      <c r="CD79" s="93">
        <v>7612.65</v>
      </c>
      <c r="CE79" s="93">
        <v>0</v>
      </c>
      <c r="CF79" s="93">
        <v>0</v>
      </c>
      <c r="CG79" s="93">
        <v>0</v>
      </c>
      <c r="CH79" s="93">
        <v>0</v>
      </c>
      <c r="CI79" s="93">
        <v>7612.65</v>
      </c>
      <c r="CJ79" s="93">
        <v>0</v>
      </c>
      <c r="CK79" s="93"/>
      <c r="CL79" s="93">
        <v>91234.800000000047</v>
      </c>
      <c r="CM79" s="93"/>
      <c r="CN79" s="93">
        <v>0</v>
      </c>
      <c r="CO79" s="93">
        <v>0</v>
      </c>
      <c r="CP79" s="93">
        <v>0</v>
      </c>
      <c r="CQ79" s="93">
        <v>0</v>
      </c>
      <c r="CR79" s="100"/>
      <c r="CS79" s="95">
        <v>91234.800000000076</v>
      </c>
      <c r="CT79" s="95">
        <v>0</v>
      </c>
      <c r="CU79" s="96">
        <v>91234.8</v>
      </c>
      <c r="CV79" s="96">
        <v>0</v>
      </c>
      <c r="CW79" s="96">
        <v>0</v>
      </c>
      <c r="CX79" s="95">
        <v>0</v>
      </c>
      <c r="CY79" s="95">
        <v>91234.8</v>
      </c>
      <c r="CZ79" s="97">
        <v>0</v>
      </c>
      <c r="DA79" s="95">
        <v>0</v>
      </c>
      <c r="DB79" s="95">
        <v>0</v>
      </c>
      <c r="DC79" s="95">
        <v>0</v>
      </c>
      <c r="DD79" s="96"/>
      <c r="DF79" s="95">
        <v>7.2759576141834259E-11</v>
      </c>
      <c r="DI79" s="95">
        <v>91234.800000000076</v>
      </c>
      <c r="DJ79" s="95">
        <v>0</v>
      </c>
      <c r="DK79" s="96">
        <v>91234.8</v>
      </c>
      <c r="DL79" s="96">
        <v>0</v>
      </c>
      <c r="DQ79" s="88">
        <v>3303371</v>
      </c>
      <c r="DT79" s="95">
        <f t="shared" si="17"/>
        <v>1668532.0499999998</v>
      </c>
      <c r="DU79" s="95">
        <f t="shared" si="18"/>
        <v>1633234.9699999997</v>
      </c>
      <c r="DV79" s="95">
        <f t="shared" si="19"/>
        <v>35297.080000000075</v>
      </c>
      <c r="DW79" s="95">
        <f t="shared" si="20"/>
        <v>7612.65</v>
      </c>
      <c r="DX79" s="95">
        <f t="shared" si="21"/>
        <v>7612.65</v>
      </c>
      <c r="DY79" s="95">
        <f t="shared" si="23"/>
        <v>0</v>
      </c>
      <c r="EA79" s="95">
        <f t="shared" si="24"/>
        <v>55937.72</v>
      </c>
      <c r="EB79" s="95">
        <f t="shared" si="25"/>
        <v>35297.080000000075</v>
      </c>
      <c r="EC79" s="95">
        <f t="shared" si="26"/>
        <v>91234.800000000076</v>
      </c>
      <c r="ED79" s="95">
        <v>91234.800000000076</v>
      </c>
      <c r="EE79" s="95">
        <f t="shared" si="22"/>
        <v>0</v>
      </c>
      <c r="EF79" s="95"/>
      <c r="EG79" s="95">
        <f t="shared" si="27"/>
        <v>0</v>
      </c>
      <c r="EH79" s="95">
        <f t="shared" si="16"/>
        <v>0</v>
      </c>
      <c r="EI79" s="95">
        <f t="shared" si="28"/>
        <v>0</v>
      </c>
      <c r="EJ79" s="97">
        <v>0</v>
      </c>
      <c r="EK79" s="95">
        <f t="shared" si="29"/>
        <v>0</v>
      </c>
    </row>
    <row r="80" spans="1:141" s="87" customFormat="1" x14ac:dyDescent="0.35">
      <c r="A80" s="87" t="str">
        <f>_xlfn.XLOOKUP(C80,[1]Adjustment!B:B,[1]Adjustment!H:H,0,0)</f>
        <v>Agree</v>
      </c>
      <c r="B80" s="87">
        <v>3375</v>
      </c>
      <c r="C80" s="88">
        <v>3303375</v>
      </c>
      <c r="D80" s="98" t="s">
        <v>276</v>
      </c>
      <c r="E80" s="89" t="s">
        <v>277</v>
      </c>
      <c r="F80" s="101"/>
      <c r="G80" s="99"/>
      <c r="H80" s="88"/>
      <c r="I80" s="88"/>
      <c r="J80" s="88"/>
      <c r="K80" s="88"/>
      <c r="L80" s="88"/>
      <c r="M80" s="88"/>
      <c r="N80" s="88"/>
      <c r="O80" s="88"/>
      <c r="P80" s="88"/>
      <c r="Q80" s="88"/>
      <c r="R80" s="88"/>
      <c r="S80" s="92"/>
      <c r="T80" s="92"/>
      <c r="U80" s="92"/>
      <c r="V80" s="92"/>
      <c r="W80" s="92"/>
      <c r="X80" s="92"/>
      <c r="Y80" s="93">
        <v>222986.33</v>
      </c>
      <c r="Z80" s="93"/>
      <c r="AA80" s="93">
        <v>0</v>
      </c>
      <c r="AB80" s="93">
        <v>2089721.93</v>
      </c>
      <c r="AC80" s="93">
        <v>0</v>
      </c>
      <c r="AD80" s="93">
        <v>77411.679999999993</v>
      </c>
      <c r="AE80" s="93">
        <v>0</v>
      </c>
      <c r="AF80" s="93">
        <v>178965.5</v>
      </c>
      <c r="AG80" s="93">
        <v>16016.93</v>
      </c>
      <c r="AH80" s="93">
        <v>0</v>
      </c>
      <c r="AI80" s="93">
        <v>0</v>
      </c>
      <c r="AJ80" s="93">
        <v>70229.889999999956</v>
      </c>
      <c r="AK80" s="93">
        <v>0</v>
      </c>
      <c r="AL80" s="93">
        <v>0</v>
      </c>
      <c r="AM80" s="93">
        <v>0</v>
      </c>
      <c r="AN80" s="93">
        <v>0</v>
      </c>
      <c r="AO80" s="93">
        <v>0</v>
      </c>
      <c r="AP80" s="93">
        <v>0</v>
      </c>
      <c r="AQ80" s="93">
        <v>0</v>
      </c>
      <c r="AR80" s="93">
        <v>0</v>
      </c>
      <c r="AS80" s="93">
        <v>0</v>
      </c>
      <c r="AT80" s="93">
        <v>0</v>
      </c>
      <c r="AU80" s="93">
        <v>29501.26</v>
      </c>
      <c r="AV80" s="93">
        <v>79362</v>
      </c>
      <c r="AW80" s="93">
        <v>998566.31999999983</v>
      </c>
      <c r="AX80" s="93">
        <v>6489.9</v>
      </c>
      <c r="AY80" s="93">
        <v>394680.52</v>
      </c>
      <c r="AZ80" s="93">
        <v>56373.95</v>
      </c>
      <c r="BA80" s="93">
        <v>130624.3</v>
      </c>
      <c r="BB80" s="93">
        <v>0</v>
      </c>
      <c r="BC80" s="93">
        <v>49546.85</v>
      </c>
      <c r="BD80" s="93">
        <v>1781.82</v>
      </c>
      <c r="BE80" s="93">
        <v>6244.6</v>
      </c>
      <c r="BF80" s="93">
        <v>0</v>
      </c>
      <c r="BG80" s="93">
        <v>0</v>
      </c>
      <c r="BH80" s="93">
        <v>76175.08</v>
      </c>
      <c r="BI80" s="93">
        <v>3065.04</v>
      </c>
      <c r="BJ80" s="93">
        <v>878.49</v>
      </c>
      <c r="BK80" s="93">
        <v>6143.7</v>
      </c>
      <c r="BL80" s="93">
        <v>26403.48</v>
      </c>
      <c r="BM80" s="93">
        <v>0</v>
      </c>
      <c r="BN80" s="93">
        <v>3759.26</v>
      </c>
      <c r="BO80" s="93">
        <v>79061.740000000005</v>
      </c>
      <c r="BP80" s="93">
        <v>7.49</v>
      </c>
      <c r="BQ80" s="93">
        <v>2273.42</v>
      </c>
      <c r="BR80" s="93">
        <v>51850.77</v>
      </c>
      <c r="BS80" s="93">
        <v>4895</v>
      </c>
      <c r="BT80" s="93">
        <v>3510</v>
      </c>
      <c r="BU80" s="93">
        <v>178270.51</v>
      </c>
      <c r="BV80" s="93">
        <v>22478.44</v>
      </c>
      <c r="BW80" s="93">
        <v>241090.78</v>
      </c>
      <c r="BX80" s="93">
        <v>83625.259999999995</v>
      </c>
      <c r="BY80" s="93">
        <v>0</v>
      </c>
      <c r="BZ80" s="93">
        <v>0</v>
      </c>
      <c r="CA80" s="93"/>
      <c r="CB80" s="93">
        <v>0</v>
      </c>
      <c r="CC80" s="93">
        <v>0</v>
      </c>
      <c r="CD80" s="93">
        <v>9240.75</v>
      </c>
      <c r="CE80" s="93">
        <v>0</v>
      </c>
      <c r="CF80" s="93">
        <v>0</v>
      </c>
      <c r="CG80" s="93">
        <v>0</v>
      </c>
      <c r="CH80" s="93">
        <v>0</v>
      </c>
      <c r="CI80" s="93">
        <v>9240.75</v>
      </c>
      <c r="CJ80" s="93">
        <v>0</v>
      </c>
      <c r="CK80" s="93"/>
      <c r="CL80" s="93">
        <v>336398.80000000028</v>
      </c>
      <c r="CM80" s="93"/>
      <c r="CN80" s="93">
        <v>0</v>
      </c>
      <c r="CO80" s="93">
        <v>0</v>
      </c>
      <c r="CP80" s="93">
        <v>0</v>
      </c>
      <c r="CQ80" s="93">
        <v>0</v>
      </c>
      <c r="CR80" s="100"/>
      <c r="CS80" s="95">
        <v>113294.6</v>
      </c>
      <c r="CT80" s="95">
        <v>0</v>
      </c>
      <c r="CU80" s="96">
        <v>113294.6</v>
      </c>
      <c r="CV80" s="96">
        <v>0</v>
      </c>
      <c r="CW80" s="96">
        <v>0</v>
      </c>
      <c r="CX80" s="95">
        <v>0</v>
      </c>
      <c r="CY80" s="95">
        <v>113294.6</v>
      </c>
      <c r="CZ80" s="97">
        <v>0</v>
      </c>
      <c r="DA80" s="95">
        <v>0</v>
      </c>
      <c r="DB80" s="95">
        <v>4.0000000037252903E-2</v>
      </c>
      <c r="DC80" s="95">
        <v>0</v>
      </c>
      <c r="DD80" s="96"/>
      <c r="DF80" s="95">
        <v>0</v>
      </c>
      <c r="DI80" s="95">
        <v>113294.6</v>
      </c>
      <c r="DJ80" s="95">
        <v>0</v>
      </c>
      <c r="DK80" s="96">
        <v>113294.6</v>
      </c>
      <c r="DL80" s="96">
        <v>0</v>
      </c>
      <c r="DQ80" s="88">
        <v>3303375</v>
      </c>
      <c r="DT80" s="95">
        <f t="shared" si="17"/>
        <v>2541209.19</v>
      </c>
      <c r="DU80" s="95">
        <f t="shared" si="18"/>
        <v>2427796.7199999997</v>
      </c>
      <c r="DV80" s="95">
        <f t="shared" si="19"/>
        <v>113412.4700000002</v>
      </c>
      <c r="DW80" s="95">
        <f t="shared" si="20"/>
        <v>9240.75</v>
      </c>
      <c r="DX80" s="95">
        <f t="shared" si="21"/>
        <v>9240.75</v>
      </c>
      <c r="DY80" s="95">
        <f t="shared" si="23"/>
        <v>0</v>
      </c>
      <c r="EA80" s="95">
        <f t="shared" si="24"/>
        <v>222986.33</v>
      </c>
      <c r="EB80" s="95">
        <f t="shared" si="25"/>
        <v>113412.4700000002</v>
      </c>
      <c r="EC80" s="95">
        <f t="shared" si="26"/>
        <v>336398.80000000016</v>
      </c>
      <c r="ED80" s="95">
        <v>336398.80000000016</v>
      </c>
      <c r="EE80" s="95">
        <f t="shared" si="22"/>
        <v>0</v>
      </c>
      <c r="EF80" s="95"/>
      <c r="EG80" s="95">
        <f t="shared" si="27"/>
        <v>0</v>
      </c>
      <c r="EH80" s="95">
        <f t="shared" si="16"/>
        <v>0</v>
      </c>
      <c r="EI80" s="95">
        <f t="shared" si="28"/>
        <v>0</v>
      </c>
      <c r="EJ80" s="97">
        <v>0</v>
      </c>
      <c r="EK80" s="95">
        <f t="shared" si="29"/>
        <v>0</v>
      </c>
    </row>
    <row r="81" spans="1:141" s="87" customFormat="1" x14ac:dyDescent="0.35">
      <c r="A81" s="87" t="str">
        <f>_xlfn.XLOOKUP(C81,[1]Adjustment!B:B,[1]Adjustment!H:H,0,0)</f>
        <v>Agree</v>
      </c>
      <c r="B81" s="87">
        <v>3386</v>
      </c>
      <c r="C81" s="88">
        <v>3303386</v>
      </c>
      <c r="D81" s="98" t="s">
        <v>278</v>
      </c>
      <c r="E81" s="89" t="s">
        <v>279</v>
      </c>
      <c r="F81" s="101"/>
      <c r="G81" s="99"/>
      <c r="H81" s="88"/>
      <c r="I81" s="88"/>
      <c r="J81" s="88"/>
      <c r="K81" s="88"/>
      <c r="L81" s="88"/>
      <c r="M81" s="88"/>
      <c r="N81" s="88"/>
      <c r="O81" s="88"/>
      <c r="P81" s="88"/>
      <c r="Q81" s="88"/>
      <c r="R81" s="88"/>
      <c r="S81" s="92"/>
      <c r="T81" s="92"/>
      <c r="U81" s="92"/>
      <c r="V81" s="92"/>
      <c r="W81" s="92"/>
      <c r="X81" s="92"/>
      <c r="Y81" s="93">
        <v>165088.65</v>
      </c>
      <c r="Z81" s="93"/>
      <c r="AA81" s="93">
        <v>0</v>
      </c>
      <c r="AB81" s="93">
        <v>1368675.16</v>
      </c>
      <c r="AC81" s="93">
        <v>0</v>
      </c>
      <c r="AD81" s="93">
        <v>104617.5</v>
      </c>
      <c r="AE81" s="93">
        <v>0</v>
      </c>
      <c r="AF81" s="93">
        <v>130951</v>
      </c>
      <c r="AG81" s="93">
        <v>200</v>
      </c>
      <c r="AH81" s="93">
        <v>0</v>
      </c>
      <c r="AI81" s="93">
        <v>0</v>
      </c>
      <c r="AJ81" s="93">
        <v>36728.71</v>
      </c>
      <c r="AK81" s="93">
        <v>0</v>
      </c>
      <c r="AL81" s="93">
        <v>0</v>
      </c>
      <c r="AM81" s="93">
        <v>0</v>
      </c>
      <c r="AN81" s="93">
        <v>3803.4</v>
      </c>
      <c r="AO81" s="93">
        <v>3740.7</v>
      </c>
      <c r="AP81" s="93">
        <v>0</v>
      </c>
      <c r="AQ81" s="93">
        <v>0</v>
      </c>
      <c r="AR81" s="93">
        <v>0</v>
      </c>
      <c r="AS81" s="93">
        <v>0</v>
      </c>
      <c r="AT81" s="93">
        <v>0</v>
      </c>
      <c r="AU81" s="93">
        <v>21183.759999999998</v>
      </c>
      <c r="AV81" s="93">
        <v>42864</v>
      </c>
      <c r="AW81" s="93">
        <v>661753.74000000022</v>
      </c>
      <c r="AX81" s="93">
        <v>0</v>
      </c>
      <c r="AY81" s="93">
        <v>381953.74</v>
      </c>
      <c r="AZ81" s="93">
        <v>42967.99</v>
      </c>
      <c r="BA81" s="93">
        <v>41964.9</v>
      </c>
      <c r="BB81" s="93">
        <v>0</v>
      </c>
      <c r="BC81" s="93">
        <v>58024.57</v>
      </c>
      <c r="BD81" s="93">
        <v>3240</v>
      </c>
      <c r="BE81" s="93">
        <v>0</v>
      </c>
      <c r="BF81" s="93">
        <v>0</v>
      </c>
      <c r="BG81" s="93">
        <v>0</v>
      </c>
      <c r="BH81" s="93">
        <v>41793.06</v>
      </c>
      <c r="BI81" s="93">
        <v>2169.04</v>
      </c>
      <c r="BJ81" s="93">
        <v>3922.91</v>
      </c>
      <c r="BK81" s="93">
        <v>2263.44</v>
      </c>
      <c r="BL81" s="93">
        <v>35259.68</v>
      </c>
      <c r="BM81" s="93">
        <v>0</v>
      </c>
      <c r="BN81" s="93">
        <v>4835.97</v>
      </c>
      <c r="BO81" s="93">
        <v>23275.749999999749</v>
      </c>
      <c r="BP81" s="93">
        <v>0</v>
      </c>
      <c r="BQ81" s="93">
        <v>2734.94</v>
      </c>
      <c r="BR81" s="93">
        <v>119264.78</v>
      </c>
      <c r="BS81" s="93">
        <v>4895</v>
      </c>
      <c r="BT81" s="93">
        <v>440</v>
      </c>
      <c r="BU81" s="93">
        <v>102951.55</v>
      </c>
      <c r="BV81" s="93">
        <v>8282.58</v>
      </c>
      <c r="BW81" s="93">
        <v>1620</v>
      </c>
      <c r="BX81" s="93">
        <v>75946.31</v>
      </c>
      <c r="BY81" s="93">
        <v>0</v>
      </c>
      <c r="BZ81" s="93">
        <v>0</v>
      </c>
      <c r="CA81" s="93"/>
      <c r="CB81" s="93">
        <v>0</v>
      </c>
      <c r="CC81" s="93">
        <v>0</v>
      </c>
      <c r="CD81" s="93">
        <v>7109.64</v>
      </c>
      <c r="CE81" s="93">
        <v>0</v>
      </c>
      <c r="CF81" s="93">
        <v>0</v>
      </c>
      <c r="CG81" s="93">
        <v>0</v>
      </c>
      <c r="CH81" s="93">
        <v>0</v>
      </c>
      <c r="CI81" s="93">
        <v>7109.64</v>
      </c>
      <c r="CJ81" s="93">
        <v>0</v>
      </c>
      <c r="CK81" s="93"/>
      <c r="CL81" s="93">
        <v>258292.9299999997</v>
      </c>
      <c r="CM81" s="93"/>
      <c r="CN81" s="93">
        <v>0</v>
      </c>
      <c r="CO81" s="93">
        <v>0</v>
      </c>
      <c r="CP81" s="93">
        <v>0</v>
      </c>
      <c r="CQ81" s="93">
        <v>0</v>
      </c>
      <c r="CR81" s="100"/>
      <c r="CS81" s="95">
        <v>258292.93000000002</v>
      </c>
      <c r="CT81" s="95">
        <v>0</v>
      </c>
      <c r="CU81" s="96">
        <v>258292.93</v>
      </c>
      <c r="CV81" s="96">
        <v>0</v>
      </c>
      <c r="CW81" s="96">
        <v>0</v>
      </c>
      <c r="CX81" s="95">
        <v>0</v>
      </c>
      <c r="CY81" s="95">
        <v>258292.93</v>
      </c>
      <c r="CZ81" s="97">
        <v>0</v>
      </c>
      <c r="DA81" s="95">
        <v>0</v>
      </c>
      <c r="DB81" s="95">
        <v>0</v>
      </c>
      <c r="DC81" s="95">
        <v>-5.0000000250292942E-2</v>
      </c>
      <c r="DD81" s="96"/>
      <c r="DF81" s="95">
        <v>2.9103830456733704E-11</v>
      </c>
      <c r="DI81" s="95">
        <v>258292.93000000002</v>
      </c>
      <c r="DJ81" s="95">
        <v>0</v>
      </c>
      <c r="DK81" s="96">
        <v>258292.93</v>
      </c>
      <c r="DL81" s="96">
        <v>0</v>
      </c>
      <c r="DQ81" s="88">
        <v>3303386</v>
      </c>
      <c r="DT81" s="95">
        <f t="shared" si="17"/>
        <v>1712764.2299999997</v>
      </c>
      <c r="DU81" s="95">
        <f t="shared" si="18"/>
        <v>1619559.95</v>
      </c>
      <c r="DV81" s="95">
        <f t="shared" si="19"/>
        <v>93204.279999999795</v>
      </c>
      <c r="DW81" s="95">
        <f t="shared" si="20"/>
        <v>7109.64</v>
      </c>
      <c r="DX81" s="95">
        <f t="shared" si="21"/>
        <v>7109.64</v>
      </c>
      <c r="DY81" s="95">
        <f t="shared" si="23"/>
        <v>0</v>
      </c>
      <c r="EA81" s="95">
        <f t="shared" si="24"/>
        <v>165088.65</v>
      </c>
      <c r="EB81" s="95">
        <f t="shared" si="25"/>
        <v>93204.279999999795</v>
      </c>
      <c r="EC81" s="95">
        <f t="shared" si="26"/>
        <v>258292.92999999979</v>
      </c>
      <c r="ED81" s="95">
        <v>258292.92999999979</v>
      </c>
      <c r="EE81" s="95">
        <f t="shared" si="22"/>
        <v>0</v>
      </c>
      <c r="EF81" s="95"/>
      <c r="EG81" s="95">
        <f t="shared" si="27"/>
        <v>0</v>
      </c>
      <c r="EH81" s="95">
        <f t="shared" si="16"/>
        <v>0</v>
      </c>
      <c r="EI81" s="95">
        <f t="shared" si="28"/>
        <v>0</v>
      </c>
      <c r="EJ81" s="97">
        <v>0</v>
      </c>
      <c r="EK81" s="95">
        <f t="shared" si="29"/>
        <v>0</v>
      </c>
    </row>
    <row r="82" spans="1:141" s="87" customFormat="1" x14ac:dyDescent="0.35">
      <c r="A82" s="87" t="str">
        <f>_xlfn.XLOOKUP(C82,[1]Adjustment!B:B,[1]Adjustment!H:H,0,0)</f>
        <v>Agree</v>
      </c>
      <c r="B82" s="87">
        <v>3410</v>
      </c>
      <c r="C82" s="88">
        <v>3303410</v>
      </c>
      <c r="D82" s="98" t="s">
        <v>280</v>
      </c>
      <c r="E82" s="89" t="s">
        <v>281</v>
      </c>
      <c r="F82" s="101"/>
      <c r="G82" s="99"/>
      <c r="H82" s="88"/>
      <c r="I82" s="88"/>
      <c r="J82" s="88"/>
      <c r="K82" s="88"/>
      <c r="L82" s="88"/>
      <c r="M82" s="88"/>
      <c r="N82" s="88"/>
      <c r="O82" s="88"/>
      <c r="P82" s="88"/>
      <c r="Q82" s="88"/>
      <c r="R82" s="88"/>
      <c r="S82" s="92"/>
      <c r="T82" s="92"/>
      <c r="U82" s="92"/>
      <c r="V82" s="92"/>
      <c r="W82" s="92"/>
      <c r="X82" s="92"/>
      <c r="Y82" s="93">
        <v>167015.38</v>
      </c>
      <c r="Z82" s="93"/>
      <c r="AA82" s="93">
        <v>0</v>
      </c>
      <c r="AB82" s="93">
        <v>1145487.93</v>
      </c>
      <c r="AC82" s="93">
        <v>0</v>
      </c>
      <c r="AD82" s="93">
        <v>40893.18</v>
      </c>
      <c r="AE82" s="93">
        <v>0</v>
      </c>
      <c r="AF82" s="93">
        <v>77116.5</v>
      </c>
      <c r="AG82" s="93">
        <v>0</v>
      </c>
      <c r="AH82" s="93">
        <v>0</v>
      </c>
      <c r="AI82" s="93">
        <v>0</v>
      </c>
      <c r="AJ82" s="93">
        <v>72604.67</v>
      </c>
      <c r="AK82" s="93">
        <v>0</v>
      </c>
      <c r="AL82" s="93">
        <v>0</v>
      </c>
      <c r="AM82" s="93">
        <v>0</v>
      </c>
      <c r="AN82" s="93">
        <v>9831.24</v>
      </c>
      <c r="AO82" s="93">
        <v>0</v>
      </c>
      <c r="AP82" s="93">
        <v>0</v>
      </c>
      <c r="AQ82" s="93">
        <v>0</v>
      </c>
      <c r="AR82" s="93">
        <v>0</v>
      </c>
      <c r="AS82" s="93">
        <v>0</v>
      </c>
      <c r="AT82" s="93">
        <v>0</v>
      </c>
      <c r="AU82" s="93">
        <v>4779.12</v>
      </c>
      <c r="AV82" s="93">
        <v>51675</v>
      </c>
      <c r="AW82" s="93">
        <v>631884.38999999955</v>
      </c>
      <c r="AX82" s="93">
        <v>0</v>
      </c>
      <c r="AY82" s="93">
        <v>197416.95999999999</v>
      </c>
      <c r="AZ82" s="93">
        <v>61677.52</v>
      </c>
      <c r="BA82" s="93">
        <v>65399.44</v>
      </c>
      <c r="BB82" s="93">
        <v>0</v>
      </c>
      <c r="BC82" s="93">
        <v>54627.34</v>
      </c>
      <c r="BD82" s="93">
        <v>171.58</v>
      </c>
      <c r="BE82" s="93">
        <v>60</v>
      </c>
      <c r="BF82" s="93">
        <v>0</v>
      </c>
      <c r="BG82" s="93">
        <v>0</v>
      </c>
      <c r="BH82" s="93">
        <v>26630.41</v>
      </c>
      <c r="BI82" s="93">
        <v>138.6</v>
      </c>
      <c r="BJ82" s="93">
        <v>968.79</v>
      </c>
      <c r="BK82" s="93">
        <v>2642.31</v>
      </c>
      <c r="BL82" s="93">
        <v>15327.89</v>
      </c>
      <c r="BM82" s="93">
        <v>0</v>
      </c>
      <c r="BN82" s="93">
        <v>6162.06</v>
      </c>
      <c r="BO82" s="93">
        <v>23564.380000000157</v>
      </c>
      <c r="BP82" s="93">
        <v>0</v>
      </c>
      <c r="BQ82" s="93">
        <v>10479.76</v>
      </c>
      <c r="BR82" s="93">
        <v>11250.44</v>
      </c>
      <c r="BS82" s="93">
        <v>8985.9699999999993</v>
      </c>
      <c r="BT82" s="93">
        <v>3335</v>
      </c>
      <c r="BU82" s="93">
        <v>100599.19</v>
      </c>
      <c r="BV82" s="93">
        <v>358.8</v>
      </c>
      <c r="BW82" s="93">
        <v>0</v>
      </c>
      <c r="BX82" s="93">
        <v>147697.62</v>
      </c>
      <c r="BY82" s="93">
        <v>0</v>
      </c>
      <c r="BZ82" s="93">
        <v>0</v>
      </c>
      <c r="CA82" s="93"/>
      <c r="CB82" s="93">
        <v>0</v>
      </c>
      <c r="CC82" s="93">
        <v>0</v>
      </c>
      <c r="CD82" s="93">
        <v>6713.55</v>
      </c>
      <c r="CE82" s="93">
        <v>0</v>
      </c>
      <c r="CF82" s="93">
        <v>0</v>
      </c>
      <c r="CG82" s="93">
        <v>0</v>
      </c>
      <c r="CH82" s="93">
        <v>0</v>
      </c>
      <c r="CI82" s="93">
        <v>6713.55</v>
      </c>
      <c r="CJ82" s="93">
        <v>0</v>
      </c>
      <c r="CK82" s="93"/>
      <c r="CL82" s="93">
        <v>200024.5700000003</v>
      </c>
      <c r="CM82" s="93"/>
      <c r="CN82" s="93">
        <v>0</v>
      </c>
      <c r="CO82" s="93">
        <v>0</v>
      </c>
      <c r="CP82" s="93">
        <v>0</v>
      </c>
      <c r="CQ82" s="93">
        <v>0</v>
      </c>
      <c r="CR82" s="100"/>
      <c r="CS82" s="95">
        <v>200024.56999999972</v>
      </c>
      <c r="CT82" s="95">
        <v>0</v>
      </c>
      <c r="CU82" s="96">
        <v>200024.57</v>
      </c>
      <c r="CV82" s="96">
        <v>0</v>
      </c>
      <c r="CW82" s="96">
        <v>-2.9103830456733704E-10</v>
      </c>
      <c r="CX82" s="95">
        <v>0</v>
      </c>
      <c r="CY82" s="95">
        <v>200024.57</v>
      </c>
      <c r="CZ82" s="97">
        <v>0</v>
      </c>
      <c r="DA82" s="95">
        <v>0</v>
      </c>
      <c r="DB82" s="95">
        <v>0</v>
      </c>
      <c r="DC82" s="95">
        <v>-1.9999999844003469E-2</v>
      </c>
      <c r="DD82" s="96"/>
      <c r="DF82" s="95">
        <v>-2.9103830456733704E-10</v>
      </c>
      <c r="DI82" s="95">
        <v>200024.56999999972</v>
      </c>
      <c r="DJ82" s="95">
        <v>0</v>
      </c>
      <c r="DK82" s="96">
        <v>200024.57</v>
      </c>
      <c r="DL82" s="96">
        <v>0</v>
      </c>
      <c r="DQ82" s="88">
        <v>3303410</v>
      </c>
      <c r="DT82" s="95">
        <f t="shared" si="17"/>
        <v>1402387.64</v>
      </c>
      <c r="DU82" s="95">
        <f t="shared" si="18"/>
        <v>1369378.4499999997</v>
      </c>
      <c r="DV82" s="95">
        <f t="shared" si="19"/>
        <v>33009.190000000177</v>
      </c>
      <c r="DW82" s="95">
        <f t="shared" si="20"/>
        <v>6713.55</v>
      </c>
      <c r="DX82" s="95">
        <f t="shared" si="21"/>
        <v>6713.55</v>
      </c>
      <c r="DY82" s="95">
        <f t="shared" si="23"/>
        <v>0</v>
      </c>
      <c r="EA82" s="95">
        <f t="shared" si="24"/>
        <v>167015.38</v>
      </c>
      <c r="EB82" s="95">
        <f t="shared" si="25"/>
        <v>33009.190000000177</v>
      </c>
      <c r="EC82" s="95">
        <f t="shared" si="26"/>
        <v>200024.57000000018</v>
      </c>
      <c r="ED82" s="95">
        <v>200024.57000000018</v>
      </c>
      <c r="EE82" s="95">
        <f t="shared" si="22"/>
        <v>0</v>
      </c>
      <c r="EF82" s="95"/>
      <c r="EG82" s="95">
        <f t="shared" si="27"/>
        <v>0</v>
      </c>
      <c r="EH82" s="95">
        <f t="shared" si="16"/>
        <v>0</v>
      </c>
      <c r="EI82" s="95">
        <f t="shared" si="28"/>
        <v>0</v>
      </c>
      <c r="EJ82" s="97">
        <v>0</v>
      </c>
      <c r="EK82" s="95">
        <f t="shared" si="29"/>
        <v>0</v>
      </c>
    </row>
    <row r="83" spans="1:141" s="87" customFormat="1" x14ac:dyDescent="0.35">
      <c r="A83" s="87" t="str">
        <f>_xlfn.XLOOKUP(C83,[1]Adjustment!B:B,[1]Adjustment!H:H,0,0)</f>
        <v>Agree</v>
      </c>
      <c r="B83" s="87">
        <v>3421</v>
      </c>
      <c r="C83" s="88">
        <v>3303421</v>
      </c>
      <c r="D83" s="98" t="s">
        <v>282</v>
      </c>
      <c r="E83" s="89" t="s">
        <v>283</v>
      </c>
      <c r="F83" s="101"/>
      <c r="G83" s="99"/>
      <c r="H83" s="88"/>
      <c r="I83" s="88"/>
      <c r="J83" s="88"/>
      <c r="K83" s="88"/>
      <c r="L83" s="88"/>
      <c r="M83" s="88"/>
      <c r="N83" s="88"/>
      <c r="O83" s="88"/>
      <c r="P83" s="88"/>
      <c r="Q83" s="88"/>
      <c r="R83" s="88"/>
      <c r="S83" s="92"/>
      <c r="T83" s="92"/>
      <c r="U83" s="92"/>
      <c r="V83" s="92"/>
      <c r="W83" s="92"/>
      <c r="X83" s="92"/>
      <c r="Y83" s="93">
        <v>583802.37</v>
      </c>
      <c r="Z83" s="93"/>
      <c r="AA83" s="93">
        <v>26792</v>
      </c>
      <c r="AB83" s="93">
        <v>4040139.4</v>
      </c>
      <c r="AC83" s="93">
        <v>0</v>
      </c>
      <c r="AD83" s="93">
        <v>99248.33</v>
      </c>
      <c r="AE83" s="93">
        <v>0</v>
      </c>
      <c r="AF83" s="93">
        <v>389516.5</v>
      </c>
      <c r="AG83" s="93">
        <v>7370.79</v>
      </c>
      <c r="AH83" s="93">
        <v>0</v>
      </c>
      <c r="AI83" s="93">
        <v>0</v>
      </c>
      <c r="AJ83" s="93">
        <v>182300.56</v>
      </c>
      <c r="AK83" s="93">
        <v>0</v>
      </c>
      <c r="AL83" s="93">
        <v>0</v>
      </c>
      <c r="AM83" s="93">
        <v>0</v>
      </c>
      <c r="AN83" s="93">
        <v>150573.70000000001</v>
      </c>
      <c r="AO83" s="93">
        <v>0</v>
      </c>
      <c r="AP83" s="93">
        <v>0</v>
      </c>
      <c r="AQ83" s="93">
        <v>0</v>
      </c>
      <c r="AR83" s="93">
        <v>0</v>
      </c>
      <c r="AS83" s="93">
        <v>0</v>
      </c>
      <c r="AT83" s="93">
        <v>0</v>
      </c>
      <c r="AU83" s="93">
        <v>65856.88</v>
      </c>
      <c r="AV83" s="93">
        <v>109873</v>
      </c>
      <c r="AW83" s="93">
        <v>2656381.7999999998</v>
      </c>
      <c r="AX83" s="93">
        <v>0</v>
      </c>
      <c r="AY83" s="93">
        <v>582280.5</v>
      </c>
      <c r="AZ83" s="93">
        <v>92292.37</v>
      </c>
      <c r="BA83" s="93">
        <v>323322.12</v>
      </c>
      <c r="BB83" s="93">
        <v>0</v>
      </c>
      <c r="BC83" s="93">
        <v>126703.33</v>
      </c>
      <c r="BD83" s="93">
        <v>13688.18</v>
      </c>
      <c r="BE83" s="93">
        <v>15747.41</v>
      </c>
      <c r="BF83" s="93">
        <v>0</v>
      </c>
      <c r="BG83" s="93">
        <v>0</v>
      </c>
      <c r="BH83" s="93">
        <v>43538.33</v>
      </c>
      <c r="BI83" s="93">
        <v>442.94</v>
      </c>
      <c r="BJ83" s="93">
        <v>69426.92</v>
      </c>
      <c r="BK83" s="93">
        <v>14183.47</v>
      </c>
      <c r="BL83" s="93">
        <v>132671.53</v>
      </c>
      <c r="BM83" s="93">
        <v>0</v>
      </c>
      <c r="BN83" s="93">
        <v>7048.61</v>
      </c>
      <c r="BO83" s="93">
        <v>159891.15999999957</v>
      </c>
      <c r="BP83" s="93">
        <v>25435.53</v>
      </c>
      <c r="BQ83" s="93">
        <v>33433.26</v>
      </c>
      <c r="BR83" s="93">
        <v>60971.48</v>
      </c>
      <c r="BS83" s="93">
        <v>23446.26</v>
      </c>
      <c r="BT83" s="93">
        <v>28162.92</v>
      </c>
      <c r="BU83" s="93">
        <v>232405.83</v>
      </c>
      <c r="BV83" s="93">
        <v>262559.96999999997</v>
      </c>
      <c r="BW83" s="93">
        <v>4039.32</v>
      </c>
      <c r="BX83" s="93">
        <v>335967.12</v>
      </c>
      <c r="BY83" s="93">
        <v>0</v>
      </c>
      <c r="BZ83" s="93">
        <v>0</v>
      </c>
      <c r="CA83" s="93"/>
      <c r="CB83" s="93">
        <v>0</v>
      </c>
      <c r="CC83" s="93">
        <v>0</v>
      </c>
      <c r="CD83" s="93">
        <v>13416.25</v>
      </c>
      <c r="CE83" s="93">
        <v>0</v>
      </c>
      <c r="CF83" s="93">
        <v>0</v>
      </c>
      <c r="CG83" s="93">
        <v>0</v>
      </c>
      <c r="CH83" s="93">
        <v>0</v>
      </c>
      <c r="CI83" s="93">
        <v>0</v>
      </c>
      <c r="CJ83" s="93">
        <v>38410.120000000003</v>
      </c>
      <c r="CK83" s="93"/>
      <c r="CL83" s="93">
        <v>384641.16999999993</v>
      </c>
      <c r="CM83" s="93"/>
      <c r="CN83" s="93">
        <v>1798.1299999999974</v>
      </c>
      <c r="CO83" s="93">
        <v>0</v>
      </c>
      <c r="CP83" s="93">
        <v>0</v>
      </c>
      <c r="CQ83" s="93">
        <v>0</v>
      </c>
      <c r="CR83" s="100"/>
      <c r="CS83" s="95">
        <v>384641.16999999981</v>
      </c>
      <c r="CT83" s="95">
        <v>14113.959999999995</v>
      </c>
      <c r="CU83" s="96">
        <v>384641.17</v>
      </c>
      <c r="CV83" s="96">
        <v>14113.96</v>
      </c>
      <c r="CW83" s="96">
        <v>0</v>
      </c>
      <c r="CX83" s="95">
        <v>0</v>
      </c>
      <c r="CY83" s="95">
        <v>398755.13</v>
      </c>
      <c r="CZ83" s="97">
        <v>804.10000000000218</v>
      </c>
      <c r="DA83" s="95">
        <v>804.10000000000218</v>
      </c>
      <c r="DB83" s="95">
        <v>0</v>
      </c>
      <c r="DC83" s="95">
        <v>-3521.5300000004354</v>
      </c>
      <c r="DD83" s="96"/>
      <c r="DF83" s="95">
        <v>-1.5279510989785194E-10</v>
      </c>
      <c r="DI83" s="95">
        <v>384641.16999999981</v>
      </c>
      <c r="DJ83" s="95">
        <v>14113.959999999995</v>
      </c>
      <c r="DK83" s="96">
        <v>384641.17</v>
      </c>
      <c r="DL83" s="96">
        <v>14113.96</v>
      </c>
      <c r="DQ83" s="88">
        <v>3303421</v>
      </c>
      <c r="DT83" s="95">
        <f t="shared" si="17"/>
        <v>5044879.16</v>
      </c>
      <c r="DU83" s="95">
        <f t="shared" si="18"/>
        <v>5244040.3600000003</v>
      </c>
      <c r="DV83" s="95">
        <f t="shared" si="19"/>
        <v>-199161.20000000019</v>
      </c>
      <c r="DW83" s="95">
        <f t="shared" si="20"/>
        <v>13416.25</v>
      </c>
      <c r="DX83" s="95">
        <f t="shared" si="21"/>
        <v>38410.120000000003</v>
      </c>
      <c r="DY83" s="95">
        <f t="shared" si="23"/>
        <v>-24993.870000000003</v>
      </c>
      <c r="EA83" s="95">
        <f t="shared" si="24"/>
        <v>583802.37</v>
      </c>
      <c r="EB83" s="95">
        <f t="shared" si="25"/>
        <v>-199161.20000000019</v>
      </c>
      <c r="EC83" s="95">
        <f t="shared" si="26"/>
        <v>384641.16999999981</v>
      </c>
      <c r="ED83" s="95">
        <v>384641.16999999981</v>
      </c>
      <c r="EE83" s="95">
        <f t="shared" si="22"/>
        <v>0</v>
      </c>
      <c r="EF83" s="95"/>
      <c r="EG83" s="95">
        <f t="shared" si="27"/>
        <v>26792</v>
      </c>
      <c r="EH83" s="95">
        <f t="shared" si="16"/>
        <v>-24993.870000000003</v>
      </c>
      <c r="EI83" s="95">
        <f t="shared" si="28"/>
        <v>1798.1299999999974</v>
      </c>
      <c r="EJ83" s="97">
        <v>1798.1299999999974</v>
      </c>
      <c r="EK83" s="95">
        <f t="shared" si="29"/>
        <v>0</v>
      </c>
    </row>
    <row r="84" spans="1:141" s="87" customFormat="1" x14ac:dyDescent="0.35">
      <c r="A84" s="87" t="str">
        <f>_xlfn.XLOOKUP(C84,[1]Adjustment!B:B,[1]Adjustment!H:H,0,0)</f>
        <v>Agree</v>
      </c>
      <c r="B84" s="87">
        <v>3431</v>
      </c>
      <c r="C84" s="88">
        <v>3303431</v>
      </c>
      <c r="D84" s="98" t="s">
        <v>284</v>
      </c>
      <c r="E84" s="89" t="s">
        <v>285</v>
      </c>
      <c r="F84" s="101"/>
      <c r="G84" s="99"/>
      <c r="H84" s="88"/>
      <c r="I84" s="88"/>
      <c r="J84" s="88"/>
      <c r="K84" s="88"/>
      <c r="L84" s="88"/>
      <c r="M84" s="88"/>
      <c r="N84" s="88"/>
      <c r="O84" s="88"/>
      <c r="P84" s="88"/>
      <c r="Q84" s="88"/>
      <c r="R84" s="88"/>
      <c r="S84" s="92"/>
      <c r="T84" s="92"/>
      <c r="U84" s="92"/>
      <c r="V84" s="92"/>
      <c r="W84" s="92"/>
      <c r="X84" s="92"/>
      <c r="Y84" s="93"/>
      <c r="Z84" s="93">
        <v>-281.64999999999998</v>
      </c>
      <c r="AA84" s="93">
        <v>25373</v>
      </c>
      <c r="AB84" s="93">
        <v>3008514.4</v>
      </c>
      <c r="AC84" s="93">
        <v>0</v>
      </c>
      <c r="AD84" s="93">
        <v>92622.25</v>
      </c>
      <c r="AE84" s="93">
        <v>0</v>
      </c>
      <c r="AF84" s="93">
        <v>167576.5</v>
      </c>
      <c r="AG84" s="93">
        <v>4970.79</v>
      </c>
      <c r="AH84" s="93">
        <v>0</v>
      </c>
      <c r="AI84" s="93">
        <v>0</v>
      </c>
      <c r="AJ84" s="93">
        <v>64216.780000001148</v>
      </c>
      <c r="AK84" s="93">
        <v>0</v>
      </c>
      <c r="AL84" s="93">
        <v>0</v>
      </c>
      <c r="AM84" s="93">
        <v>0</v>
      </c>
      <c r="AN84" s="93">
        <v>241966.76</v>
      </c>
      <c r="AO84" s="93">
        <v>0</v>
      </c>
      <c r="AP84" s="93">
        <v>0</v>
      </c>
      <c r="AQ84" s="93">
        <v>0</v>
      </c>
      <c r="AR84" s="93">
        <v>0</v>
      </c>
      <c r="AS84" s="93">
        <v>0</v>
      </c>
      <c r="AT84" s="93">
        <v>0</v>
      </c>
      <c r="AU84" s="93">
        <v>19186.189999999999</v>
      </c>
      <c r="AV84" s="93">
        <v>120257</v>
      </c>
      <c r="AW84" s="93">
        <v>1890418.9400000018</v>
      </c>
      <c r="AX84" s="93">
        <v>0</v>
      </c>
      <c r="AY84" s="93">
        <v>659235.56999999995</v>
      </c>
      <c r="AZ84" s="93">
        <v>4263.5600000000004</v>
      </c>
      <c r="BA84" s="93">
        <v>331020.48</v>
      </c>
      <c r="BB84" s="93">
        <v>0</v>
      </c>
      <c r="BC84" s="93">
        <v>158707.51999999999</v>
      </c>
      <c r="BD84" s="93">
        <v>282.02999999999997</v>
      </c>
      <c r="BE84" s="93">
        <v>1200</v>
      </c>
      <c r="BF84" s="93">
        <v>0</v>
      </c>
      <c r="BG84" s="93">
        <v>0</v>
      </c>
      <c r="BH84" s="93">
        <v>28824.2</v>
      </c>
      <c r="BI84" s="93">
        <v>9790.35</v>
      </c>
      <c r="BJ84" s="93">
        <v>73095.55</v>
      </c>
      <c r="BK84" s="93">
        <v>8236.2900000000009</v>
      </c>
      <c r="BL84" s="93">
        <v>97663.14</v>
      </c>
      <c r="BM84" s="93">
        <v>0</v>
      </c>
      <c r="BN84" s="93">
        <v>28240.74</v>
      </c>
      <c r="BO84" s="93">
        <v>132469.45000000001</v>
      </c>
      <c r="BP84" s="93">
        <v>0</v>
      </c>
      <c r="BQ84" s="93">
        <v>95</v>
      </c>
      <c r="BR84" s="93">
        <v>24804.44</v>
      </c>
      <c r="BS84" s="93">
        <v>4895</v>
      </c>
      <c r="BT84" s="93">
        <v>9658.08</v>
      </c>
      <c r="BU84" s="93">
        <v>134790.62</v>
      </c>
      <c r="BV84" s="93">
        <v>132375.67999999999</v>
      </c>
      <c r="BW84" s="93">
        <v>1620</v>
      </c>
      <c r="BX84" s="93">
        <v>133328.22</v>
      </c>
      <c r="BY84" s="93">
        <v>0</v>
      </c>
      <c r="BZ84" s="93">
        <v>0</v>
      </c>
      <c r="CA84" s="93"/>
      <c r="CB84" s="93">
        <v>0</v>
      </c>
      <c r="CC84" s="93">
        <v>0</v>
      </c>
      <c r="CD84" s="93">
        <v>11519.5</v>
      </c>
      <c r="CE84" s="93">
        <v>23348</v>
      </c>
      <c r="CF84" s="93">
        <v>0</v>
      </c>
      <c r="CG84" s="93">
        <v>0</v>
      </c>
      <c r="CH84" s="93">
        <v>0</v>
      </c>
      <c r="CI84" s="93">
        <v>6468</v>
      </c>
      <c r="CJ84" s="93">
        <v>0</v>
      </c>
      <c r="CK84" s="93"/>
      <c r="CL84" s="93">
        <v>-145985.84000000125</v>
      </c>
      <c r="CM84" s="93"/>
      <c r="CN84" s="93">
        <v>53772.5</v>
      </c>
      <c r="CO84" s="93">
        <v>0</v>
      </c>
      <c r="CP84" s="93">
        <v>0</v>
      </c>
      <c r="CQ84" s="93">
        <v>0</v>
      </c>
      <c r="CR84" s="100"/>
      <c r="CS84" s="95">
        <v>-176283.3299999997</v>
      </c>
      <c r="CT84" s="95">
        <v>0</v>
      </c>
      <c r="CU84" s="96">
        <v>-145985.84</v>
      </c>
      <c r="CV84" s="96">
        <v>-30297.49</v>
      </c>
      <c r="CW84" s="96">
        <v>-30297.4899999997</v>
      </c>
      <c r="CX84" s="95">
        <v>-30297.49</v>
      </c>
      <c r="CY84" s="95">
        <v>-176283.33</v>
      </c>
      <c r="CZ84" s="97">
        <v>0</v>
      </c>
      <c r="DA84" s="95">
        <v>0</v>
      </c>
      <c r="DB84" s="95">
        <v>3320.6999999988475</v>
      </c>
      <c r="DC84" s="95">
        <v>0</v>
      </c>
      <c r="DD84" s="96">
        <v>-30297.49</v>
      </c>
      <c r="DF84" s="95">
        <v>3.0195224098861217E-10</v>
      </c>
      <c r="DI84" s="95">
        <v>-176283.3299999997</v>
      </c>
      <c r="DJ84" s="95">
        <v>0</v>
      </c>
      <c r="DK84" s="96">
        <v>-145985.84</v>
      </c>
      <c r="DL84" s="96">
        <v>-30297.49</v>
      </c>
      <c r="DQ84" s="88">
        <v>3303431</v>
      </c>
      <c r="DT84" s="95">
        <f t="shared" si="17"/>
        <v>3719310.6700000013</v>
      </c>
      <c r="DU84" s="95">
        <f t="shared" si="18"/>
        <v>3865014.8600000027</v>
      </c>
      <c r="DV84" s="95">
        <f t="shared" si="19"/>
        <v>-145704.19000000134</v>
      </c>
      <c r="DW84" s="95">
        <f t="shared" si="20"/>
        <v>34867.5</v>
      </c>
      <c r="DX84" s="95">
        <f t="shared" si="21"/>
        <v>6468</v>
      </c>
      <c r="DY84" s="95">
        <f t="shared" si="23"/>
        <v>28399.5</v>
      </c>
      <c r="EA84" s="95">
        <f t="shared" si="24"/>
        <v>-281.64999999999998</v>
      </c>
      <c r="EB84" s="95">
        <f t="shared" si="25"/>
        <v>-145704.19000000134</v>
      </c>
      <c r="EC84" s="95">
        <f t="shared" si="26"/>
        <v>-145985.84000000134</v>
      </c>
      <c r="ED84" s="95">
        <v>-145985.84000000134</v>
      </c>
      <c r="EE84" s="95">
        <f t="shared" si="22"/>
        <v>0</v>
      </c>
      <c r="EF84" s="95"/>
      <c r="EG84" s="95">
        <f t="shared" si="27"/>
        <v>25373</v>
      </c>
      <c r="EH84" s="95">
        <f t="shared" si="16"/>
        <v>28399.5</v>
      </c>
      <c r="EI84" s="95">
        <f t="shared" si="28"/>
        <v>53772.5</v>
      </c>
      <c r="EJ84" s="97">
        <v>53772.5</v>
      </c>
      <c r="EK84" s="95">
        <f t="shared" si="29"/>
        <v>0</v>
      </c>
    </row>
    <row r="85" spans="1:141" s="87" customFormat="1" x14ac:dyDescent="0.35">
      <c r="A85" s="87" t="str">
        <f>_xlfn.XLOOKUP(C85,[1]Adjustment!B:B,[1]Adjustment!H:H,0,0)</f>
        <v>Agree</v>
      </c>
      <c r="B85" s="87">
        <v>3432</v>
      </c>
      <c r="C85" s="88">
        <v>3303432</v>
      </c>
      <c r="D85" s="98" t="s">
        <v>286</v>
      </c>
      <c r="E85" s="89" t="s">
        <v>287</v>
      </c>
      <c r="F85" s="101"/>
      <c r="G85" s="99"/>
      <c r="H85" s="88"/>
      <c r="I85" s="88"/>
      <c r="J85" s="88"/>
      <c r="K85" s="88"/>
      <c r="L85" s="88"/>
      <c r="M85" s="88"/>
      <c r="N85" s="88"/>
      <c r="O85" s="88"/>
      <c r="P85" s="88"/>
      <c r="Q85" s="88"/>
      <c r="R85" s="88"/>
      <c r="S85" s="92"/>
      <c r="T85" s="92"/>
      <c r="U85" s="92"/>
      <c r="V85" s="92"/>
      <c r="W85" s="92"/>
      <c r="X85" s="92"/>
      <c r="Y85" s="93">
        <v>336731.75</v>
      </c>
      <c r="Z85" s="93"/>
      <c r="AA85" s="93">
        <v>38071</v>
      </c>
      <c r="AB85" s="93">
        <v>5011067.33</v>
      </c>
      <c r="AC85" s="93">
        <v>0</v>
      </c>
      <c r="AD85" s="93">
        <v>191524.83</v>
      </c>
      <c r="AE85" s="93">
        <v>0</v>
      </c>
      <c r="AF85" s="93">
        <v>579091</v>
      </c>
      <c r="AG85" s="93">
        <v>5827.72</v>
      </c>
      <c r="AH85" s="93">
        <v>0</v>
      </c>
      <c r="AI85" s="93">
        <v>0</v>
      </c>
      <c r="AJ85" s="93">
        <v>317318.55999999924</v>
      </c>
      <c r="AK85" s="93">
        <v>0</v>
      </c>
      <c r="AL85" s="93">
        <v>0</v>
      </c>
      <c r="AM85" s="93">
        <v>0</v>
      </c>
      <c r="AN85" s="93">
        <v>4986.05</v>
      </c>
      <c r="AO85" s="93">
        <v>0</v>
      </c>
      <c r="AP85" s="93">
        <v>0</v>
      </c>
      <c r="AQ85" s="93">
        <v>0</v>
      </c>
      <c r="AR85" s="93">
        <v>0</v>
      </c>
      <c r="AS85" s="93">
        <v>0</v>
      </c>
      <c r="AT85" s="93">
        <v>0</v>
      </c>
      <c r="AU85" s="93">
        <v>36723.120000000003</v>
      </c>
      <c r="AV85" s="93">
        <v>89234</v>
      </c>
      <c r="AW85" s="93">
        <v>2383419.17</v>
      </c>
      <c r="AX85" s="93">
        <v>0</v>
      </c>
      <c r="AY85" s="93">
        <v>869821.99</v>
      </c>
      <c r="AZ85" s="93">
        <v>5321.3</v>
      </c>
      <c r="BA85" s="93">
        <v>477969.03</v>
      </c>
      <c r="BB85" s="93">
        <v>0</v>
      </c>
      <c r="BC85" s="93">
        <v>145093.4</v>
      </c>
      <c r="BD85" s="93">
        <v>4153.83</v>
      </c>
      <c r="BE85" s="93">
        <v>7360</v>
      </c>
      <c r="BF85" s="93">
        <v>0</v>
      </c>
      <c r="BG85" s="93">
        <v>0</v>
      </c>
      <c r="BH85" s="93">
        <v>675699.3</v>
      </c>
      <c r="BI85" s="93">
        <v>5033.1099999999997</v>
      </c>
      <c r="BJ85" s="93">
        <v>11726.31</v>
      </c>
      <c r="BK85" s="93">
        <v>7371.6</v>
      </c>
      <c r="BL85" s="93">
        <v>123038.85</v>
      </c>
      <c r="BM85" s="93">
        <v>0</v>
      </c>
      <c r="BN85" s="93">
        <v>12099.28</v>
      </c>
      <c r="BO85" s="93">
        <v>295043.15000000002</v>
      </c>
      <c r="BP85" s="93">
        <v>7956.56</v>
      </c>
      <c r="BQ85" s="93">
        <v>21280.25</v>
      </c>
      <c r="BR85" s="93">
        <v>109656.22</v>
      </c>
      <c r="BS85" s="93">
        <v>23155</v>
      </c>
      <c r="BT85" s="93">
        <v>16210</v>
      </c>
      <c r="BU85" s="93">
        <v>122175.01</v>
      </c>
      <c r="BV85" s="93">
        <v>164921.89000000001</v>
      </c>
      <c r="BW85" s="93">
        <v>2710</v>
      </c>
      <c r="BX85" s="93">
        <v>320481.59999999998</v>
      </c>
      <c r="BY85" s="93">
        <v>0</v>
      </c>
      <c r="BZ85" s="93">
        <v>0</v>
      </c>
      <c r="CA85" s="93"/>
      <c r="CB85" s="93">
        <v>0</v>
      </c>
      <c r="CC85" s="93">
        <v>0</v>
      </c>
      <c r="CD85" s="93">
        <v>13551.25</v>
      </c>
      <c r="CE85" s="93">
        <v>0</v>
      </c>
      <c r="CF85" s="93">
        <v>0</v>
      </c>
      <c r="CG85" s="93">
        <v>0</v>
      </c>
      <c r="CH85" s="93">
        <v>0</v>
      </c>
      <c r="CI85" s="93">
        <v>0</v>
      </c>
      <c r="CJ85" s="93">
        <v>46291</v>
      </c>
      <c r="CK85" s="93"/>
      <c r="CL85" s="93">
        <v>760807.51000000071</v>
      </c>
      <c r="CM85" s="93"/>
      <c r="CN85" s="93">
        <v>5331.25</v>
      </c>
      <c r="CO85" s="93">
        <v>0</v>
      </c>
      <c r="CP85" s="93">
        <v>0</v>
      </c>
      <c r="CQ85" s="93">
        <v>0</v>
      </c>
      <c r="CR85" s="100"/>
      <c r="CS85" s="95">
        <v>731495.08000000101</v>
      </c>
      <c r="CT85" s="95">
        <v>0</v>
      </c>
      <c r="CU85" s="96">
        <v>760807.51</v>
      </c>
      <c r="CV85" s="96">
        <v>-29312.43</v>
      </c>
      <c r="CW85" s="96">
        <v>-29312.429999999003</v>
      </c>
      <c r="CX85" s="95">
        <v>-29312.43</v>
      </c>
      <c r="CY85" s="95">
        <v>731495.08</v>
      </c>
      <c r="CZ85" s="97">
        <v>26886.510000000002</v>
      </c>
      <c r="DA85" s="95">
        <v>26886.510000000002</v>
      </c>
      <c r="DB85" s="95">
        <v>4.0000000735744834E-2</v>
      </c>
      <c r="DC85" s="95">
        <v>0</v>
      </c>
      <c r="DD85" s="96">
        <v>-29312.43</v>
      </c>
      <c r="DF85" s="95">
        <v>9.9680619314312935E-10</v>
      </c>
      <c r="DI85" s="95">
        <v>731495.08000000101</v>
      </c>
      <c r="DJ85" s="95">
        <v>0</v>
      </c>
      <c r="DK85" s="96">
        <v>760807.51</v>
      </c>
      <c r="DL85" s="96">
        <v>-29312.43</v>
      </c>
      <c r="DQ85" s="88">
        <v>3303432</v>
      </c>
      <c r="DT85" s="95">
        <f t="shared" si="17"/>
        <v>6235772.6099999994</v>
      </c>
      <c r="DU85" s="95">
        <f t="shared" si="18"/>
        <v>5811696.8499999987</v>
      </c>
      <c r="DV85" s="95">
        <f t="shared" si="19"/>
        <v>424075.76000000071</v>
      </c>
      <c r="DW85" s="95">
        <f t="shared" si="20"/>
        <v>13551.25</v>
      </c>
      <c r="DX85" s="95">
        <f t="shared" si="21"/>
        <v>46291</v>
      </c>
      <c r="DY85" s="95">
        <f t="shared" si="23"/>
        <v>-32739.75</v>
      </c>
      <c r="EA85" s="95">
        <f t="shared" si="24"/>
        <v>336731.75</v>
      </c>
      <c r="EB85" s="95">
        <f t="shared" si="25"/>
        <v>424075.76000000071</v>
      </c>
      <c r="EC85" s="95">
        <f t="shared" si="26"/>
        <v>760807.51000000071</v>
      </c>
      <c r="ED85" s="95">
        <v>760807.51000000071</v>
      </c>
      <c r="EE85" s="95">
        <f t="shared" si="22"/>
        <v>0</v>
      </c>
      <c r="EF85" s="95"/>
      <c r="EG85" s="95">
        <f t="shared" si="27"/>
        <v>38071</v>
      </c>
      <c r="EH85" s="95">
        <f t="shared" si="16"/>
        <v>-32739.75</v>
      </c>
      <c r="EI85" s="95">
        <f t="shared" si="28"/>
        <v>5331.25</v>
      </c>
      <c r="EJ85" s="97">
        <v>5331.25</v>
      </c>
      <c r="EK85" s="95">
        <f t="shared" si="29"/>
        <v>0</v>
      </c>
    </row>
    <row r="86" spans="1:141" s="87" customFormat="1" x14ac:dyDescent="0.35">
      <c r="A86" s="87" t="str">
        <f>_xlfn.XLOOKUP(C86,[1]Adjustment!B:B,[1]Adjustment!H:H,0,0)</f>
        <v>Agree</v>
      </c>
      <c r="B86" s="87">
        <v>3435</v>
      </c>
      <c r="C86" s="88">
        <v>3303435</v>
      </c>
      <c r="D86" s="98" t="s">
        <v>288</v>
      </c>
      <c r="E86" s="89" t="s">
        <v>289</v>
      </c>
      <c r="F86" s="101"/>
      <c r="G86" s="99"/>
      <c r="H86" s="88"/>
      <c r="I86" s="88"/>
      <c r="J86" s="88"/>
      <c r="K86" s="88"/>
      <c r="L86" s="88"/>
      <c r="M86" s="88"/>
      <c r="N86" s="88"/>
      <c r="O86" s="88"/>
      <c r="P86" s="88"/>
      <c r="Q86" s="88"/>
      <c r="R86" s="88"/>
      <c r="S86" s="92"/>
      <c r="T86" s="92"/>
      <c r="U86" s="92"/>
      <c r="V86" s="92"/>
      <c r="W86" s="92"/>
      <c r="X86" s="92"/>
      <c r="Y86" s="93">
        <v>175704.49</v>
      </c>
      <c r="Z86" s="93"/>
      <c r="AA86" s="93">
        <v>21010</v>
      </c>
      <c r="AB86" s="93">
        <v>1919398.86</v>
      </c>
      <c r="AC86" s="93">
        <v>0</v>
      </c>
      <c r="AD86" s="93">
        <v>84462.5</v>
      </c>
      <c r="AE86" s="93">
        <v>0</v>
      </c>
      <c r="AF86" s="93">
        <v>53725.5</v>
      </c>
      <c r="AG86" s="93">
        <v>400</v>
      </c>
      <c r="AH86" s="93">
        <v>0</v>
      </c>
      <c r="AI86" s="93">
        <v>0</v>
      </c>
      <c r="AJ86" s="93">
        <v>356458.37</v>
      </c>
      <c r="AK86" s="93">
        <v>0</v>
      </c>
      <c r="AL86" s="93">
        <v>0</v>
      </c>
      <c r="AM86" s="93">
        <v>0</v>
      </c>
      <c r="AN86" s="93">
        <v>25806.400000000001</v>
      </c>
      <c r="AO86" s="93">
        <v>160</v>
      </c>
      <c r="AP86" s="93">
        <v>0</v>
      </c>
      <c r="AQ86" s="93">
        <v>0</v>
      </c>
      <c r="AR86" s="93">
        <v>0</v>
      </c>
      <c r="AS86" s="93">
        <v>0</v>
      </c>
      <c r="AT86" s="93">
        <v>0</v>
      </c>
      <c r="AU86" s="93">
        <v>3493.5</v>
      </c>
      <c r="AV86" s="93">
        <v>101943</v>
      </c>
      <c r="AW86" s="93">
        <v>1178763.3699999999</v>
      </c>
      <c r="AX86" s="93">
        <v>0</v>
      </c>
      <c r="AY86" s="93">
        <v>329316.40999999997</v>
      </c>
      <c r="AZ86" s="93">
        <v>94097.94</v>
      </c>
      <c r="BA86" s="93">
        <v>219647.28</v>
      </c>
      <c r="BB86" s="93">
        <v>0</v>
      </c>
      <c r="BC86" s="93">
        <v>68704.59</v>
      </c>
      <c r="BD86" s="93">
        <v>2476</v>
      </c>
      <c r="BE86" s="93">
        <v>569.9</v>
      </c>
      <c r="BF86" s="93">
        <v>0</v>
      </c>
      <c r="BG86" s="93">
        <v>0</v>
      </c>
      <c r="BH86" s="93">
        <v>34545.07</v>
      </c>
      <c r="BI86" s="93">
        <v>4148.17</v>
      </c>
      <c r="BJ86" s="93">
        <v>1505.04</v>
      </c>
      <c r="BK86" s="93">
        <v>10385.69</v>
      </c>
      <c r="BL86" s="93">
        <v>71084.179999999993</v>
      </c>
      <c r="BM86" s="93">
        <v>0</v>
      </c>
      <c r="BN86" s="93">
        <v>6658.44</v>
      </c>
      <c r="BO86" s="93">
        <v>58032.979999999872</v>
      </c>
      <c r="BP86" s="93">
        <v>42823.06</v>
      </c>
      <c r="BQ86" s="93">
        <v>1513.2</v>
      </c>
      <c r="BR86" s="93">
        <v>25289.1</v>
      </c>
      <c r="BS86" s="93">
        <v>9020</v>
      </c>
      <c r="BT86" s="93">
        <v>1644</v>
      </c>
      <c r="BU86" s="93">
        <v>240165.95</v>
      </c>
      <c r="BV86" s="93">
        <v>71794.77</v>
      </c>
      <c r="BW86" s="93">
        <v>120</v>
      </c>
      <c r="BX86" s="93">
        <v>75687.360000000001</v>
      </c>
      <c r="BY86" s="93">
        <v>0</v>
      </c>
      <c r="BZ86" s="93">
        <v>0</v>
      </c>
      <c r="CA86" s="93"/>
      <c r="CB86" s="93">
        <v>0</v>
      </c>
      <c r="CC86" s="93">
        <v>0</v>
      </c>
      <c r="CD86" s="93">
        <v>8725</v>
      </c>
      <c r="CE86" s="93">
        <v>18445.259999999998</v>
      </c>
      <c r="CF86" s="93">
        <v>0</v>
      </c>
      <c r="CG86" s="93">
        <v>0</v>
      </c>
      <c r="CH86" s="93">
        <v>0</v>
      </c>
      <c r="CI86" s="93">
        <v>0</v>
      </c>
      <c r="CJ86" s="93">
        <v>37082</v>
      </c>
      <c r="CK86" s="93"/>
      <c r="CL86" s="93">
        <v>173560.12000000011</v>
      </c>
      <c r="CM86" s="93"/>
      <c r="CN86" s="93">
        <v>11098.259999999995</v>
      </c>
      <c r="CO86" s="93">
        <v>0</v>
      </c>
      <c r="CP86" s="93">
        <v>0</v>
      </c>
      <c r="CQ86" s="93">
        <v>0</v>
      </c>
      <c r="CR86" s="100"/>
      <c r="CS86" s="95">
        <v>150235.92999999947</v>
      </c>
      <c r="CT86" s="95">
        <v>0</v>
      </c>
      <c r="CU86" s="96">
        <v>184105.88</v>
      </c>
      <c r="CV86" s="96">
        <v>-33869.949999999997</v>
      </c>
      <c r="CW86" s="96">
        <v>-33869.950000000536</v>
      </c>
      <c r="CX86" s="95">
        <v>-33869.949999999997</v>
      </c>
      <c r="CY86" s="95">
        <v>150235.93</v>
      </c>
      <c r="CZ86" s="97">
        <v>18445.259999999995</v>
      </c>
      <c r="DA86" s="95">
        <v>18445.259999999995</v>
      </c>
      <c r="DB86" s="95">
        <v>0</v>
      </c>
      <c r="DC86" s="95">
        <v>-1.0000000125728548E-2</v>
      </c>
      <c r="DD86" s="96">
        <v>-33869.949999999997</v>
      </c>
      <c r="DF86" s="95">
        <v>-5.3842086344957352E-10</v>
      </c>
      <c r="DI86" s="95">
        <v>150235.92999999947</v>
      </c>
      <c r="DJ86" s="95">
        <v>0</v>
      </c>
      <c r="DK86" s="96">
        <v>184105.88</v>
      </c>
      <c r="DL86" s="96">
        <v>-33869.949999999997</v>
      </c>
      <c r="DQ86" s="88">
        <v>3303435</v>
      </c>
      <c r="DT86" s="95">
        <f t="shared" si="17"/>
        <v>2545848.13</v>
      </c>
      <c r="DU86" s="95">
        <f t="shared" si="18"/>
        <v>2547992.5</v>
      </c>
      <c r="DV86" s="95">
        <f t="shared" si="19"/>
        <v>-2144.3700000001118</v>
      </c>
      <c r="DW86" s="95">
        <f t="shared" si="20"/>
        <v>27170.26</v>
      </c>
      <c r="DX86" s="95">
        <f t="shared" si="21"/>
        <v>37082</v>
      </c>
      <c r="DY86" s="95">
        <f t="shared" si="23"/>
        <v>-9911.7400000000016</v>
      </c>
      <c r="EA86" s="95">
        <f t="shared" si="24"/>
        <v>175704.49</v>
      </c>
      <c r="EB86" s="95">
        <f t="shared" si="25"/>
        <v>-2144.3700000001118</v>
      </c>
      <c r="EC86" s="95">
        <f t="shared" si="26"/>
        <v>173560.11999999988</v>
      </c>
      <c r="ED86" s="95">
        <v>173560.11999999988</v>
      </c>
      <c r="EE86" s="95">
        <f t="shared" si="22"/>
        <v>0</v>
      </c>
      <c r="EF86" s="95"/>
      <c r="EG86" s="95">
        <f t="shared" si="27"/>
        <v>21010</v>
      </c>
      <c r="EH86" s="95">
        <f t="shared" si="16"/>
        <v>-9911.7400000000016</v>
      </c>
      <c r="EI86" s="95">
        <f t="shared" si="28"/>
        <v>11098.259999999998</v>
      </c>
      <c r="EJ86" s="97">
        <v>11098.259999999998</v>
      </c>
      <c r="EK86" s="95">
        <f t="shared" si="29"/>
        <v>0</v>
      </c>
    </row>
    <row r="87" spans="1:141" s="87" customFormat="1" x14ac:dyDescent="0.35">
      <c r="A87" s="87" t="str">
        <f>_xlfn.XLOOKUP(C87,[1]Adjustment!B:B,[1]Adjustment!H:H,0,0)</f>
        <v>Agree</v>
      </c>
      <c r="B87" s="87">
        <v>4015</v>
      </c>
      <c r="C87" s="88">
        <v>3304015</v>
      </c>
      <c r="D87" s="98" t="s">
        <v>290</v>
      </c>
      <c r="E87" s="89" t="s">
        <v>291</v>
      </c>
      <c r="F87" s="101"/>
      <c r="G87" s="99"/>
      <c r="H87" s="88"/>
      <c r="I87" s="88"/>
      <c r="J87" s="88"/>
      <c r="K87" s="88"/>
      <c r="L87" s="88"/>
      <c r="M87" s="88"/>
      <c r="N87" s="88"/>
      <c r="O87" s="88"/>
      <c r="P87" s="88"/>
      <c r="Q87" s="88"/>
      <c r="R87" s="88"/>
      <c r="S87" s="92"/>
      <c r="T87" s="92"/>
      <c r="U87" s="92"/>
      <c r="V87" s="92"/>
      <c r="W87" s="92"/>
      <c r="X87" s="92"/>
      <c r="Y87" s="93">
        <v>1312935.72</v>
      </c>
      <c r="Z87" s="93"/>
      <c r="AA87" s="93">
        <v>10872.4</v>
      </c>
      <c r="AB87" s="93">
        <v>5225736.03</v>
      </c>
      <c r="AC87" s="93">
        <v>0</v>
      </c>
      <c r="AD87" s="93">
        <v>62580</v>
      </c>
      <c r="AE87" s="93">
        <v>0</v>
      </c>
      <c r="AF87" s="93">
        <v>330166.5</v>
      </c>
      <c r="AG87" s="93">
        <v>8913.86</v>
      </c>
      <c r="AH87" s="93">
        <v>0</v>
      </c>
      <c r="AI87" s="93">
        <v>0</v>
      </c>
      <c r="AJ87" s="93">
        <v>95277.59</v>
      </c>
      <c r="AK87" s="93">
        <v>0</v>
      </c>
      <c r="AL87" s="93">
        <v>0</v>
      </c>
      <c r="AM87" s="93">
        <v>0</v>
      </c>
      <c r="AN87" s="93">
        <v>3397.25</v>
      </c>
      <c r="AO87" s="93">
        <v>0</v>
      </c>
      <c r="AP87" s="93">
        <v>0</v>
      </c>
      <c r="AQ87" s="93">
        <v>0</v>
      </c>
      <c r="AR87" s="93">
        <v>0</v>
      </c>
      <c r="AS87" s="93">
        <v>0</v>
      </c>
      <c r="AT87" s="93">
        <v>0</v>
      </c>
      <c r="AU87" s="93">
        <v>98158.67</v>
      </c>
      <c r="AV87" s="93">
        <v>0</v>
      </c>
      <c r="AW87" s="93">
        <v>2834244.649999999</v>
      </c>
      <c r="AX87" s="93">
        <v>0</v>
      </c>
      <c r="AY87" s="93">
        <v>659030.92000000004</v>
      </c>
      <c r="AZ87" s="93">
        <v>69804.850000000006</v>
      </c>
      <c r="BA87" s="93">
        <v>384591.5</v>
      </c>
      <c r="BB87" s="93">
        <v>0</v>
      </c>
      <c r="BC87" s="93">
        <v>39441.11</v>
      </c>
      <c r="BD87" s="93">
        <v>2567.5300000000002</v>
      </c>
      <c r="BE87" s="93">
        <v>16547</v>
      </c>
      <c r="BF87" s="93">
        <v>0</v>
      </c>
      <c r="BG87" s="93">
        <v>0</v>
      </c>
      <c r="BH87" s="93">
        <v>337313.03</v>
      </c>
      <c r="BI87" s="93">
        <v>25646.98</v>
      </c>
      <c r="BJ87" s="93">
        <v>108863.92</v>
      </c>
      <c r="BK87" s="93">
        <v>0</v>
      </c>
      <c r="BL87" s="93">
        <v>215391.9</v>
      </c>
      <c r="BM87" s="93">
        <v>67225.919999999998</v>
      </c>
      <c r="BN87" s="93">
        <v>45340.81</v>
      </c>
      <c r="BO87" s="93">
        <v>298255.81000000046</v>
      </c>
      <c r="BP87" s="93">
        <v>123794.55</v>
      </c>
      <c r="BQ87" s="93">
        <v>73324.31</v>
      </c>
      <c r="BR87" s="93">
        <v>65691.83</v>
      </c>
      <c r="BS87" s="93">
        <v>4895</v>
      </c>
      <c r="BT87" s="93">
        <v>0</v>
      </c>
      <c r="BU87" s="93">
        <v>101375.83</v>
      </c>
      <c r="BV87" s="93">
        <v>243227.48</v>
      </c>
      <c r="BW87" s="93">
        <v>1790</v>
      </c>
      <c r="BX87" s="93">
        <v>156798.29</v>
      </c>
      <c r="BY87" s="93">
        <v>0</v>
      </c>
      <c r="BZ87" s="93">
        <v>0</v>
      </c>
      <c r="CA87" s="93"/>
      <c r="CB87" s="93">
        <v>0</v>
      </c>
      <c r="CC87" s="93">
        <v>0</v>
      </c>
      <c r="CD87" s="93">
        <v>16571.88</v>
      </c>
      <c r="CE87" s="93">
        <v>0</v>
      </c>
      <c r="CF87" s="93">
        <v>0</v>
      </c>
      <c r="CG87" s="93">
        <v>0</v>
      </c>
      <c r="CH87" s="93">
        <v>0</v>
      </c>
      <c r="CI87" s="93">
        <v>0</v>
      </c>
      <c r="CJ87" s="93">
        <v>0</v>
      </c>
      <c r="CK87" s="93"/>
      <c r="CL87" s="93">
        <v>1262002.4000000004</v>
      </c>
      <c r="CM87" s="93"/>
      <c r="CN87" s="93">
        <v>27444.28</v>
      </c>
      <c r="CO87" s="93">
        <v>0</v>
      </c>
      <c r="CP87" s="93">
        <v>0</v>
      </c>
      <c r="CQ87" s="93">
        <v>0</v>
      </c>
      <c r="CR87" s="100"/>
      <c r="CS87" s="95">
        <v>1262002.3999999997</v>
      </c>
      <c r="CT87" s="95">
        <v>176684.83</v>
      </c>
      <c r="CU87" s="96">
        <v>1262002.3999999999</v>
      </c>
      <c r="CV87" s="96">
        <v>176684.83</v>
      </c>
      <c r="CW87" s="96">
        <v>0</v>
      </c>
      <c r="CX87" s="95">
        <v>0</v>
      </c>
      <c r="CY87" s="95">
        <v>1438687.23</v>
      </c>
      <c r="CZ87" s="97">
        <v>-148107.29</v>
      </c>
      <c r="DA87" s="95">
        <v>-148107.29</v>
      </c>
      <c r="DB87" s="95">
        <v>0</v>
      </c>
      <c r="DC87" s="95">
        <v>-0.27999999956227839</v>
      </c>
      <c r="DD87" s="96"/>
      <c r="DF87" s="95">
        <v>0</v>
      </c>
      <c r="DI87" s="95">
        <v>1262002.3999999997</v>
      </c>
      <c r="DJ87" s="95">
        <v>176684.83</v>
      </c>
      <c r="DK87" s="96">
        <v>1262002.3999999999</v>
      </c>
      <c r="DL87" s="96">
        <v>176684.83</v>
      </c>
      <c r="DQ87" s="88">
        <v>3304015</v>
      </c>
      <c r="DT87" s="95">
        <f t="shared" si="17"/>
        <v>5824229.9000000004</v>
      </c>
      <c r="DU87" s="95">
        <f t="shared" si="18"/>
        <v>5875163.2199999997</v>
      </c>
      <c r="DV87" s="95">
        <f t="shared" si="19"/>
        <v>-50933.319999999367</v>
      </c>
      <c r="DW87" s="95">
        <f t="shared" si="20"/>
        <v>16571.88</v>
      </c>
      <c r="DX87" s="95">
        <f t="shared" si="21"/>
        <v>0</v>
      </c>
      <c r="DY87" s="95">
        <f t="shared" si="23"/>
        <v>16571.88</v>
      </c>
      <c r="EA87" s="95">
        <f t="shared" si="24"/>
        <v>1312935.72</v>
      </c>
      <c r="EB87" s="95">
        <f t="shared" si="25"/>
        <v>-50933.319999999367</v>
      </c>
      <c r="EC87" s="95">
        <f t="shared" si="26"/>
        <v>1262002.4000000006</v>
      </c>
      <c r="ED87" s="95">
        <v>1262002.4000000006</v>
      </c>
      <c r="EE87" s="95">
        <f t="shared" si="22"/>
        <v>0</v>
      </c>
      <c r="EF87" s="95"/>
      <c r="EG87" s="95">
        <f t="shared" si="27"/>
        <v>10872.4</v>
      </c>
      <c r="EH87" s="95">
        <f t="shared" si="16"/>
        <v>16571.88</v>
      </c>
      <c r="EI87" s="95">
        <f t="shared" si="28"/>
        <v>27444.28</v>
      </c>
      <c r="EJ87" s="97">
        <v>27444.28</v>
      </c>
      <c r="EK87" s="95">
        <f t="shared" si="29"/>
        <v>0</v>
      </c>
    </row>
    <row r="88" spans="1:141" s="87" customFormat="1" x14ac:dyDescent="0.35">
      <c r="A88" s="87" t="str">
        <f>_xlfn.XLOOKUP(C88,[1]Adjustment!B:B,[1]Adjustment!H:H,0,0)</f>
        <v>Agree</v>
      </c>
      <c r="B88" s="87">
        <v>4063</v>
      </c>
      <c r="C88" s="88">
        <v>3304063</v>
      </c>
      <c r="D88" s="98" t="s">
        <v>292</v>
      </c>
      <c r="E88" s="89" t="s">
        <v>293</v>
      </c>
      <c r="F88" s="101"/>
      <c r="G88" s="99"/>
      <c r="H88" s="88"/>
      <c r="I88" s="88"/>
      <c r="J88" s="88"/>
      <c r="K88" s="88"/>
      <c r="L88" s="88"/>
      <c r="M88" s="88"/>
      <c r="N88" s="88"/>
      <c r="O88" s="88"/>
      <c r="P88" s="88"/>
      <c r="Q88" s="88"/>
      <c r="R88" s="88"/>
      <c r="S88" s="92"/>
      <c r="T88" s="92"/>
      <c r="U88" s="92"/>
      <c r="V88" s="92"/>
      <c r="W88" s="92"/>
      <c r="X88" s="92"/>
      <c r="Y88" s="93">
        <v>474578.67</v>
      </c>
      <c r="Z88" s="93"/>
      <c r="AA88" s="93">
        <v>17548</v>
      </c>
      <c r="AB88" s="93">
        <v>5799249.2000000002</v>
      </c>
      <c r="AC88" s="93">
        <v>0</v>
      </c>
      <c r="AD88" s="93">
        <v>59271.199999999997</v>
      </c>
      <c r="AE88" s="93">
        <v>0</v>
      </c>
      <c r="AF88" s="93">
        <v>348795.5</v>
      </c>
      <c r="AG88" s="93">
        <v>10627.72</v>
      </c>
      <c r="AH88" s="93">
        <v>0</v>
      </c>
      <c r="AI88" s="93">
        <v>0</v>
      </c>
      <c r="AJ88" s="93">
        <v>77561.83</v>
      </c>
      <c r="AK88" s="93">
        <v>0</v>
      </c>
      <c r="AL88" s="93">
        <v>0</v>
      </c>
      <c r="AM88" s="93">
        <v>0</v>
      </c>
      <c r="AN88" s="93">
        <v>0</v>
      </c>
      <c r="AO88" s="93">
        <v>0</v>
      </c>
      <c r="AP88" s="93">
        <v>0</v>
      </c>
      <c r="AQ88" s="93">
        <v>0</v>
      </c>
      <c r="AR88" s="93">
        <v>0</v>
      </c>
      <c r="AS88" s="93">
        <v>0</v>
      </c>
      <c r="AT88" s="93">
        <v>0</v>
      </c>
      <c r="AU88" s="93">
        <v>88500.61</v>
      </c>
      <c r="AV88" s="93">
        <v>0</v>
      </c>
      <c r="AW88" s="93">
        <v>3048312.959999999</v>
      </c>
      <c r="AX88" s="93">
        <v>4880</v>
      </c>
      <c r="AY88" s="93">
        <v>471109.3</v>
      </c>
      <c r="AZ88" s="93">
        <v>162271.82999999999</v>
      </c>
      <c r="BA88" s="93">
        <v>967655.77</v>
      </c>
      <c r="BB88" s="93">
        <v>103372.02</v>
      </c>
      <c r="BC88" s="93">
        <v>23513.95</v>
      </c>
      <c r="BD88" s="93">
        <v>1345.5</v>
      </c>
      <c r="BE88" s="93">
        <v>11602.79</v>
      </c>
      <c r="BF88" s="93">
        <v>0</v>
      </c>
      <c r="BG88" s="93">
        <v>0</v>
      </c>
      <c r="BH88" s="93">
        <v>39918.97</v>
      </c>
      <c r="BI88" s="93">
        <v>17650.580000000002</v>
      </c>
      <c r="BJ88" s="93">
        <v>7881.94</v>
      </c>
      <c r="BK88" s="93">
        <v>4171.6000000000004</v>
      </c>
      <c r="BL88" s="93">
        <v>242815.31</v>
      </c>
      <c r="BM88" s="93">
        <v>0</v>
      </c>
      <c r="BN88" s="93">
        <v>9559.56</v>
      </c>
      <c r="BO88" s="93">
        <v>213796.61000000086</v>
      </c>
      <c r="BP88" s="93">
        <v>9135.75</v>
      </c>
      <c r="BQ88" s="93">
        <v>91761.85</v>
      </c>
      <c r="BR88" s="93">
        <v>64404.63</v>
      </c>
      <c r="BS88" s="93">
        <v>4895</v>
      </c>
      <c r="BT88" s="93">
        <v>548.1</v>
      </c>
      <c r="BU88" s="93">
        <v>159149.82</v>
      </c>
      <c r="BV88" s="93">
        <v>129376.86</v>
      </c>
      <c r="BW88" s="93">
        <v>0</v>
      </c>
      <c r="BX88" s="93">
        <v>506761.03</v>
      </c>
      <c r="BY88" s="93">
        <v>0</v>
      </c>
      <c r="BZ88" s="93">
        <v>0</v>
      </c>
      <c r="CA88" s="93"/>
      <c r="CB88" s="93">
        <v>0</v>
      </c>
      <c r="CC88" s="93">
        <v>0</v>
      </c>
      <c r="CD88" s="93">
        <v>15100.94</v>
      </c>
      <c r="CE88" s="93">
        <v>29694</v>
      </c>
      <c r="CF88" s="93">
        <v>0</v>
      </c>
      <c r="CG88" s="93">
        <v>0</v>
      </c>
      <c r="CH88" s="93">
        <v>0</v>
      </c>
      <c r="CI88" s="93">
        <v>38955</v>
      </c>
      <c r="CJ88" s="93">
        <v>0</v>
      </c>
      <c r="CK88" s="93"/>
      <c r="CL88" s="93">
        <v>562693.00000000093</v>
      </c>
      <c r="CM88" s="93"/>
      <c r="CN88" s="93">
        <v>23387.940000000002</v>
      </c>
      <c r="CO88" s="93">
        <v>0</v>
      </c>
      <c r="CP88" s="93">
        <v>0</v>
      </c>
      <c r="CQ88" s="93">
        <v>0</v>
      </c>
      <c r="CR88" s="100"/>
      <c r="CS88" s="95">
        <v>414868.54999999987</v>
      </c>
      <c r="CT88" s="95">
        <v>0</v>
      </c>
      <c r="CU88" s="96">
        <v>432416.22</v>
      </c>
      <c r="CV88" s="96">
        <v>-17547.669999999998</v>
      </c>
      <c r="CW88" s="96">
        <v>-17547.6700000001</v>
      </c>
      <c r="CX88" s="95">
        <v>-17547.669999999998</v>
      </c>
      <c r="CY88" s="95">
        <v>414868.55</v>
      </c>
      <c r="CZ88" s="97">
        <v>0</v>
      </c>
      <c r="DA88" s="95">
        <v>0</v>
      </c>
      <c r="DB88" s="95">
        <v>0</v>
      </c>
      <c r="DC88" s="95">
        <v>-136089.12999999913</v>
      </c>
      <c r="DD88" s="96">
        <v>-17547.669999999998</v>
      </c>
      <c r="DF88" s="95">
        <v>-1.0186340659856796E-10</v>
      </c>
      <c r="DI88" s="95">
        <v>414868.54999999987</v>
      </c>
      <c r="DJ88" s="95">
        <v>0</v>
      </c>
      <c r="DK88" s="96">
        <v>432416.22</v>
      </c>
      <c r="DL88" s="96">
        <v>-17547.669999999998</v>
      </c>
      <c r="DQ88" s="88">
        <v>3304063</v>
      </c>
      <c r="DT88" s="95">
        <f t="shared" si="17"/>
        <v>6384006.0600000005</v>
      </c>
      <c r="DU88" s="95">
        <f t="shared" si="18"/>
        <v>6295891.7299999995</v>
      </c>
      <c r="DV88" s="95">
        <f t="shared" si="19"/>
        <v>88114.330000001006</v>
      </c>
      <c r="DW88" s="95">
        <f t="shared" si="20"/>
        <v>44794.94</v>
      </c>
      <c r="DX88" s="95">
        <f t="shared" si="21"/>
        <v>38955</v>
      </c>
      <c r="DY88" s="95">
        <f t="shared" si="23"/>
        <v>5839.9400000000023</v>
      </c>
      <c r="EA88" s="95">
        <f t="shared" si="24"/>
        <v>474578.67</v>
      </c>
      <c r="EB88" s="95">
        <f t="shared" si="25"/>
        <v>88114.330000001006</v>
      </c>
      <c r="EC88" s="95">
        <f t="shared" si="26"/>
        <v>562693.00000000093</v>
      </c>
      <c r="ED88" s="95">
        <v>562693.00000000093</v>
      </c>
      <c r="EE88" s="95">
        <f t="shared" si="22"/>
        <v>0</v>
      </c>
      <c r="EF88" s="95"/>
      <c r="EG88" s="95">
        <f t="shared" si="27"/>
        <v>17548</v>
      </c>
      <c r="EH88" s="95">
        <f t="shared" si="16"/>
        <v>5839.9400000000023</v>
      </c>
      <c r="EI88" s="95">
        <f t="shared" si="28"/>
        <v>23387.940000000002</v>
      </c>
      <c r="EJ88" s="97">
        <v>23387.940000000002</v>
      </c>
      <c r="EK88" s="95">
        <f t="shared" si="29"/>
        <v>0</v>
      </c>
    </row>
    <row r="89" spans="1:141" s="87" customFormat="1" x14ac:dyDescent="0.35">
      <c r="A89" s="87" t="str">
        <f>_xlfn.XLOOKUP(C89,[1]Adjustment!B:B,[1]Adjustment!H:H,0,0)</f>
        <v>Agree</v>
      </c>
      <c r="B89" s="87">
        <v>4115</v>
      </c>
      <c r="C89" s="88">
        <v>3304115</v>
      </c>
      <c r="D89" s="98" t="s">
        <v>294</v>
      </c>
      <c r="E89" s="89" t="s">
        <v>295</v>
      </c>
      <c r="F89" s="101"/>
      <c r="G89" s="99"/>
      <c r="H89" s="88"/>
      <c r="I89" s="88"/>
      <c r="J89" s="88"/>
      <c r="K89" s="88"/>
      <c r="L89" s="88"/>
      <c r="M89" s="88"/>
      <c r="N89" s="88"/>
      <c r="O89" s="88"/>
      <c r="P89" s="88"/>
      <c r="Q89" s="88"/>
      <c r="R89" s="88"/>
      <c r="S89" s="92"/>
      <c r="T89" s="92"/>
      <c r="U89" s="92"/>
      <c r="V89" s="92"/>
      <c r="W89" s="92"/>
      <c r="X89" s="92"/>
      <c r="Y89" s="93">
        <v>2158178.6800000002</v>
      </c>
      <c r="Z89" s="93"/>
      <c r="AA89" s="93">
        <v>23176</v>
      </c>
      <c r="AB89" s="93">
        <v>4971951.78</v>
      </c>
      <c r="AC89" s="93">
        <v>2210334.33</v>
      </c>
      <c r="AD89" s="93">
        <v>306725.58</v>
      </c>
      <c r="AE89" s="93">
        <v>0</v>
      </c>
      <c r="AF89" s="93">
        <v>314641.5</v>
      </c>
      <c r="AG89" s="93">
        <v>9770.7900000000009</v>
      </c>
      <c r="AH89" s="93">
        <v>0</v>
      </c>
      <c r="AI89" s="93">
        <v>0</v>
      </c>
      <c r="AJ89" s="93">
        <v>458786.19</v>
      </c>
      <c r="AK89" s="93">
        <v>90528.8</v>
      </c>
      <c r="AL89" s="93">
        <v>0</v>
      </c>
      <c r="AM89" s="93">
        <v>0</v>
      </c>
      <c r="AN89" s="93">
        <v>23305.46</v>
      </c>
      <c r="AO89" s="93">
        <v>0</v>
      </c>
      <c r="AP89" s="93">
        <v>0</v>
      </c>
      <c r="AQ89" s="93">
        <v>0</v>
      </c>
      <c r="AR89" s="93">
        <v>0</v>
      </c>
      <c r="AS89" s="93">
        <v>0</v>
      </c>
      <c r="AT89" s="93">
        <v>0</v>
      </c>
      <c r="AU89" s="93">
        <v>86553.08</v>
      </c>
      <c r="AV89" s="93">
        <v>0</v>
      </c>
      <c r="AW89" s="93">
        <v>3932393.5000000019</v>
      </c>
      <c r="AX89" s="93">
        <v>0</v>
      </c>
      <c r="AY89" s="93">
        <v>834874.25</v>
      </c>
      <c r="AZ89" s="93">
        <v>107013</v>
      </c>
      <c r="BA89" s="93">
        <v>711538.86</v>
      </c>
      <c r="BB89" s="93">
        <v>0</v>
      </c>
      <c r="BC89" s="93">
        <v>119615.53</v>
      </c>
      <c r="BD89" s="93">
        <v>66184.600000000006</v>
      </c>
      <c r="BE89" s="93">
        <v>13022.04</v>
      </c>
      <c r="BF89" s="93">
        <v>0</v>
      </c>
      <c r="BG89" s="93">
        <v>0</v>
      </c>
      <c r="BH89" s="93">
        <v>124818.57</v>
      </c>
      <c r="BI89" s="93">
        <v>5370</v>
      </c>
      <c r="BJ89" s="93">
        <v>160566.91</v>
      </c>
      <c r="BK89" s="93">
        <v>9046.2999999999993</v>
      </c>
      <c r="BL89" s="93">
        <v>311088.40000000002</v>
      </c>
      <c r="BM89" s="93">
        <v>110115.84</v>
      </c>
      <c r="BN89" s="93">
        <v>26556.89</v>
      </c>
      <c r="BO89" s="93">
        <v>408577.18999999878</v>
      </c>
      <c r="BP89" s="93">
        <v>58556.98</v>
      </c>
      <c r="BQ89" s="93">
        <v>135186.69</v>
      </c>
      <c r="BR89" s="93">
        <v>84991.59</v>
      </c>
      <c r="BS89" s="93">
        <v>4895</v>
      </c>
      <c r="BT89" s="93">
        <v>33598</v>
      </c>
      <c r="BU89" s="93">
        <v>279002.65999999997</v>
      </c>
      <c r="BV89" s="93">
        <v>267429.82</v>
      </c>
      <c r="BW89" s="93">
        <v>22370</v>
      </c>
      <c r="BX89" s="93">
        <v>264979.71000000002</v>
      </c>
      <c r="BY89" s="93">
        <v>0</v>
      </c>
      <c r="BZ89" s="93">
        <v>0</v>
      </c>
      <c r="CA89" s="93"/>
      <c r="CB89" s="93">
        <v>0</v>
      </c>
      <c r="CC89" s="93">
        <v>0</v>
      </c>
      <c r="CD89" s="93">
        <v>22573.75</v>
      </c>
      <c r="CE89" s="93">
        <v>44192.270000000004</v>
      </c>
      <c r="CF89" s="93">
        <v>0</v>
      </c>
      <c r="CG89" s="93">
        <v>0</v>
      </c>
      <c r="CH89" s="93">
        <v>0</v>
      </c>
      <c r="CI89" s="93">
        <v>0</v>
      </c>
      <c r="CJ89" s="93">
        <v>23176</v>
      </c>
      <c r="CK89" s="93"/>
      <c r="CL89" s="93">
        <v>2538983.8599999975</v>
      </c>
      <c r="CM89" s="93"/>
      <c r="CN89" s="93">
        <v>66766.02</v>
      </c>
      <c r="CO89" s="93">
        <v>0</v>
      </c>
      <c r="CP89" s="93">
        <v>0</v>
      </c>
      <c r="CQ89" s="93">
        <v>0</v>
      </c>
      <c r="CR89" s="100"/>
      <c r="CS89" s="95">
        <v>2538983.86</v>
      </c>
      <c r="CT89" s="95">
        <v>89541.94</v>
      </c>
      <c r="CU89" s="96">
        <v>2538983.86</v>
      </c>
      <c r="CV89" s="96">
        <v>89541.94</v>
      </c>
      <c r="CW89" s="96">
        <v>0</v>
      </c>
      <c r="CX89" s="95">
        <v>0</v>
      </c>
      <c r="CY89" s="95">
        <v>2628525.7999999998</v>
      </c>
      <c r="CZ89" s="97">
        <v>44192.270000000004</v>
      </c>
      <c r="DA89" s="95">
        <v>44192.270000000004</v>
      </c>
      <c r="DB89" s="95">
        <v>0</v>
      </c>
      <c r="DC89" s="95">
        <v>-0.3200000012293458</v>
      </c>
      <c r="DD89" s="96"/>
      <c r="DF89" s="95">
        <v>0</v>
      </c>
      <c r="DI89" s="95">
        <v>2538983.86</v>
      </c>
      <c r="DJ89" s="95">
        <v>89541.94</v>
      </c>
      <c r="DK89" s="96">
        <v>2538983.86</v>
      </c>
      <c r="DL89" s="96">
        <v>89541.94</v>
      </c>
      <c r="DQ89" s="88">
        <v>3304115</v>
      </c>
      <c r="DT89" s="95">
        <f t="shared" si="17"/>
        <v>8472597.5099999998</v>
      </c>
      <c r="DU89" s="95">
        <f t="shared" si="18"/>
        <v>8091792.3300000019</v>
      </c>
      <c r="DV89" s="95">
        <f t="shared" si="19"/>
        <v>380805.17999999784</v>
      </c>
      <c r="DW89" s="95">
        <f t="shared" si="20"/>
        <v>66766.02</v>
      </c>
      <c r="DX89" s="95">
        <f t="shared" si="21"/>
        <v>23176</v>
      </c>
      <c r="DY89" s="95">
        <f t="shared" si="23"/>
        <v>43590.020000000004</v>
      </c>
      <c r="EA89" s="95">
        <f t="shared" si="24"/>
        <v>2158178.6800000002</v>
      </c>
      <c r="EB89" s="95">
        <f t="shared" si="25"/>
        <v>380805.17999999784</v>
      </c>
      <c r="EC89" s="95">
        <f t="shared" si="26"/>
        <v>2538983.859999998</v>
      </c>
      <c r="ED89" s="95">
        <v>2538983.859999998</v>
      </c>
      <c r="EE89" s="95">
        <f t="shared" si="22"/>
        <v>0</v>
      </c>
      <c r="EF89" s="95"/>
      <c r="EG89" s="95">
        <f t="shared" si="27"/>
        <v>23176</v>
      </c>
      <c r="EH89" s="95">
        <f t="shared" si="16"/>
        <v>43590.020000000004</v>
      </c>
      <c r="EI89" s="95">
        <f t="shared" si="28"/>
        <v>66766.02</v>
      </c>
      <c r="EJ89" s="97">
        <v>66766.01999999999</v>
      </c>
      <c r="EK89" s="95">
        <f t="shared" si="29"/>
        <v>0</v>
      </c>
    </row>
    <row r="90" spans="1:141" s="87" customFormat="1" x14ac:dyDescent="0.35">
      <c r="A90" s="87" t="str">
        <f>_xlfn.XLOOKUP(C90,[1]Adjustment!B:B,[1]Adjustment!H:H,0,0)</f>
        <v>Agree</v>
      </c>
      <c r="B90" s="87">
        <v>4173</v>
      </c>
      <c r="C90" s="88">
        <v>3304173</v>
      </c>
      <c r="D90" s="98" t="s">
        <v>296</v>
      </c>
      <c r="E90" s="89" t="s">
        <v>297</v>
      </c>
      <c r="F90" s="101"/>
      <c r="G90" s="99"/>
      <c r="H90" s="88"/>
      <c r="I90" s="88"/>
      <c r="J90" s="88"/>
      <c r="K90" s="88"/>
      <c r="L90" s="88"/>
      <c r="M90" s="88"/>
      <c r="N90" s="88"/>
      <c r="O90" s="88"/>
      <c r="P90" s="88"/>
      <c r="Q90" s="88"/>
      <c r="R90" s="88"/>
      <c r="S90" s="92"/>
      <c r="T90" s="92"/>
      <c r="U90" s="92"/>
      <c r="V90" s="92"/>
      <c r="W90" s="92"/>
      <c r="X90" s="92"/>
      <c r="Y90" s="93">
        <v>1093514.77</v>
      </c>
      <c r="Z90" s="93"/>
      <c r="AA90" s="93">
        <v>18808</v>
      </c>
      <c r="AB90" s="93">
        <v>6376410.7400000002</v>
      </c>
      <c r="AC90" s="93">
        <v>0</v>
      </c>
      <c r="AD90" s="93">
        <v>125462.59</v>
      </c>
      <c r="AE90" s="93">
        <v>0</v>
      </c>
      <c r="AF90" s="93">
        <v>312456</v>
      </c>
      <c r="AG90" s="93">
        <v>7370.79</v>
      </c>
      <c r="AH90" s="93">
        <v>0</v>
      </c>
      <c r="AI90" s="93">
        <v>0</v>
      </c>
      <c r="AJ90" s="93">
        <v>0</v>
      </c>
      <c r="AK90" s="93">
        <v>0</v>
      </c>
      <c r="AL90" s="93">
        <v>0</v>
      </c>
      <c r="AM90" s="93">
        <v>0</v>
      </c>
      <c r="AN90" s="93">
        <v>0</v>
      </c>
      <c r="AO90" s="93">
        <v>0</v>
      </c>
      <c r="AP90" s="93">
        <v>0</v>
      </c>
      <c r="AQ90" s="93">
        <v>0</v>
      </c>
      <c r="AR90" s="93">
        <v>0</v>
      </c>
      <c r="AS90" s="93">
        <v>0</v>
      </c>
      <c r="AT90" s="93">
        <v>0</v>
      </c>
      <c r="AU90" s="93">
        <v>64701.3</v>
      </c>
      <c r="AV90" s="93">
        <v>0</v>
      </c>
      <c r="AW90" s="93">
        <v>6886402.4199999999</v>
      </c>
      <c r="AX90" s="93">
        <v>0</v>
      </c>
      <c r="AY90" s="93">
        <v>90111.06</v>
      </c>
      <c r="AZ90" s="93">
        <v>0</v>
      </c>
      <c r="BA90" s="93">
        <v>0</v>
      </c>
      <c r="BB90" s="93">
        <v>0</v>
      </c>
      <c r="BC90" s="93">
        <v>0</v>
      </c>
      <c r="BD90" s="93">
        <v>0</v>
      </c>
      <c r="BE90" s="93">
        <v>0</v>
      </c>
      <c r="BF90" s="93">
        <v>0</v>
      </c>
      <c r="BG90" s="93">
        <v>0</v>
      </c>
      <c r="BH90" s="93">
        <v>0</v>
      </c>
      <c r="BI90" s="93">
        <v>0</v>
      </c>
      <c r="BJ90" s="93">
        <v>0</v>
      </c>
      <c r="BK90" s="93">
        <v>0</v>
      </c>
      <c r="BL90" s="93">
        <v>0</v>
      </c>
      <c r="BM90" s="93">
        <v>0</v>
      </c>
      <c r="BN90" s="93">
        <v>0</v>
      </c>
      <c r="BO90" s="93">
        <v>0</v>
      </c>
      <c r="BP90" s="93">
        <v>0</v>
      </c>
      <c r="BQ90" s="93">
        <v>0</v>
      </c>
      <c r="BR90" s="93">
        <v>0</v>
      </c>
      <c r="BS90" s="93">
        <v>4895</v>
      </c>
      <c r="BT90" s="93">
        <v>0</v>
      </c>
      <c r="BU90" s="93">
        <v>0</v>
      </c>
      <c r="BV90" s="93">
        <v>0</v>
      </c>
      <c r="BW90" s="93">
        <v>0</v>
      </c>
      <c r="BX90" s="93">
        <v>0</v>
      </c>
      <c r="BY90" s="93">
        <v>0</v>
      </c>
      <c r="BZ90" s="93">
        <v>0</v>
      </c>
      <c r="CA90" s="93"/>
      <c r="CB90" s="93">
        <v>0</v>
      </c>
      <c r="CC90" s="93">
        <v>0</v>
      </c>
      <c r="CD90" s="93">
        <v>18951.25</v>
      </c>
      <c r="CE90" s="93">
        <v>36403.98000000001</v>
      </c>
      <c r="CF90" s="93">
        <v>0</v>
      </c>
      <c r="CG90" s="93">
        <v>0</v>
      </c>
      <c r="CH90" s="93">
        <v>0</v>
      </c>
      <c r="CI90" s="93">
        <v>0</v>
      </c>
      <c r="CJ90" s="93">
        <v>0</v>
      </c>
      <c r="CK90" s="93"/>
      <c r="CL90" s="93">
        <v>998507.71</v>
      </c>
      <c r="CM90" s="93"/>
      <c r="CN90" s="93">
        <v>74163.23000000001</v>
      </c>
      <c r="CO90" s="93">
        <v>0</v>
      </c>
      <c r="CP90" s="93">
        <v>0</v>
      </c>
      <c r="CQ90" s="93">
        <v>0</v>
      </c>
      <c r="CR90" s="100"/>
      <c r="CS90" s="95">
        <v>998507.71000000043</v>
      </c>
      <c r="CT90" s="95">
        <v>149321.89000000001</v>
      </c>
      <c r="CU90" s="96">
        <v>998507.71</v>
      </c>
      <c r="CV90" s="96">
        <v>149321.89000000001</v>
      </c>
      <c r="CW90" s="96">
        <v>0</v>
      </c>
      <c r="CX90" s="95">
        <v>0</v>
      </c>
      <c r="CY90" s="95">
        <v>1147829.6000000001</v>
      </c>
      <c r="CZ90" s="97">
        <v>-54716.979999999981</v>
      </c>
      <c r="DA90" s="95">
        <v>-54716.979999999981</v>
      </c>
      <c r="DB90" s="95">
        <v>0</v>
      </c>
      <c r="DC90" s="95">
        <v>-0.22999999998137355</v>
      </c>
      <c r="DD90" s="96"/>
      <c r="DF90" s="95">
        <v>5.8207660913467407E-10</v>
      </c>
      <c r="DI90" s="95">
        <v>998507.71000000043</v>
      </c>
      <c r="DJ90" s="95">
        <v>149321.89000000001</v>
      </c>
      <c r="DK90" s="96">
        <v>998507.71</v>
      </c>
      <c r="DL90" s="96">
        <v>149321.89000000001</v>
      </c>
      <c r="DQ90" s="88">
        <v>3304173</v>
      </c>
      <c r="DT90" s="95">
        <f t="shared" si="17"/>
        <v>6886401.4199999999</v>
      </c>
      <c r="DU90" s="95">
        <f t="shared" si="18"/>
        <v>6981408.4799999995</v>
      </c>
      <c r="DV90" s="95">
        <f t="shared" si="19"/>
        <v>-95007.05999999959</v>
      </c>
      <c r="DW90" s="95">
        <f t="shared" si="20"/>
        <v>55355.23000000001</v>
      </c>
      <c r="DX90" s="95">
        <f t="shared" si="21"/>
        <v>0</v>
      </c>
      <c r="DY90" s="95">
        <f t="shared" si="23"/>
        <v>55355.23000000001</v>
      </c>
      <c r="EA90" s="95">
        <f t="shared" si="24"/>
        <v>1093514.77</v>
      </c>
      <c r="EB90" s="95">
        <f t="shared" si="25"/>
        <v>-95007.05999999959</v>
      </c>
      <c r="EC90" s="95">
        <f t="shared" si="26"/>
        <v>998507.71000000043</v>
      </c>
      <c r="ED90" s="95">
        <v>998507.71000000043</v>
      </c>
      <c r="EE90" s="95">
        <f t="shared" si="22"/>
        <v>0</v>
      </c>
      <c r="EF90" s="95"/>
      <c r="EG90" s="95">
        <f t="shared" si="27"/>
        <v>18808</v>
      </c>
      <c r="EH90" s="95">
        <f t="shared" si="16"/>
        <v>55355.23000000001</v>
      </c>
      <c r="EI90" s="95">
        <f t="shared" si="28"/>
        <v>74163.23000000001</v>
      </c>
      <c r="EJ90" s="97">
        <v>74163.23000000001</v>
      </c>
      <c r="EK90" s="95">
        <f t="shared" si="29"/>
        <v>0</v>
      </c>
    </row>
    <row r="91" spans="1:141" s="102" customFormat="1" x14ac:dyDescent="0.35">
      <c r="A91" s="102" t="str">
        <f>_xlfn.XLOOKUP(C91,[1]Adjustment!B:B,[1]Adjustment!H:H,0,0)</f>
        <v>Agree</v>
      </c>
      <c r="B91" s="87">
        <v>4201</v>
      </c>
      <c r="C91" s="103">
        <v>3304201</v>
      </c>
      <c r="D91" s="104" t="s">
        <v>298</v>
      </c>
      <c r="E91" s="105" t="s">
        <v>299</v>
      </c>
      <c r="F91" s="106"/>
      <c r="G91" s="107"/>
      <c r="H91" s="103"/>
      <c r="I91" s="103"/>
      <c r="J91" s="103"/>
      <c r="K91" s="103"/>
      <c r="L91" s="103"/>
      <c r="M91" s="103"/>
      <c r="N91" s="103"/>
      <c r="O91" s="103"/>
      <c r="P91" s="103"/>
      <c r="Q91" s="103"/>
      <c r="R91" s="103"/>
      <c r="S91" s="108"/>
      <c r="T91" s="108"/>
      <c r="U91" s="108"/>
      <c r="V91" s="108"/>
      <c r="W91" s="108"/>
      <c r="X91" s="108"/>
      <c r="Y91" s="109">
        <v>1693049.36</v>
      </c>
      <c r="Z91" s="109"/>
      <c r="AA91" s="109">
        <v>24491.99</v>
      </c>
      <c r="AB91" s="109">
        <v>8774031.4299999997</v>
      </c>
      <c r="AC91" s="109">
        <v>0</v>
      </c>
      <c r="AD91" s="109">
        <v>46882.5</v>
      </c>
      <c r="AE91" s="109">
        <v>0</v>
      </c>
      <c r="AF91" s="109">
        <v>575460.5</v>
      </c>
      <c r="AG91" s="109">
        <v>29653.95</v>
      </c>
      <c r="AH91" s="109">
        <v>0</v>
      </c>
      <c r="AI91" s="109">
        <v>0</v>
      </c>
      <c r="AJ91" s="109">
        <v>387842.89999999874</v>
      </c>
      <c r="AK91" s="109">
        <v>190365.14</v>
      </c>
      <c r="AL91" s="109">
        <v>0</v>
      </c>
      <c r="AM91" s="109">
        <v>0</v>
      </c>
      <c r="AN91" s="109">
        <v>2993</v>
      </c>
      <c r="AO91" s="109">
        <v>0</v>
      </c>
      <c r="AP91" s="109">
        <v>0</v>
      </c>
      <c r="AQ91" s="109">
        <v>0</v>
      </c>
      <c r="AR91" s="109">
        <v>0</v>
      </c>
      <c r="AS91" s="109">
        <v>0</v>
      </c>
      <c r="AT91" s="109">
        <v>0</v>
      </c>
      <c r="AU91" s="109">
        <v>156700.48000000001</v>
      </c>
      <c r="AV91" s="109">
        <v>0</v>
      </c>
      <c r="AW91" s="109">
        <v>5063857.8699999982</v>
      </c>
      <c r="AX91" s="109">
        <v>0</v>
      </c>
      <c r="AY91" s="109">
        <v>1031725.02</v>
      </c>
      <c r="AZ91" s="109">
        <v>226252.41</v>
      </c>
      <c r="BA91" s="109">
        <v>516183.28</v>
      </c>
      <c r="BB91" s="109">
        <v>0</v>
      </c>
      <c r="BC91" s="109">
        <v>27516.560000000001</v>
      </c>
      <c r="BD91" s="109">
        <v>16237.35</v>
      </c>
      <c r="BE91" s="109">
        <v>25966.27</v>
      </c>
      <c r="BF91" s="109">
        <v>0</v>
      </c>
      <c r="BG91" s="109">
        <v>0</v>
      </c>
      <c r="BH91" s="109">
        <v>310830.87</v>
      </c>
      <c r="BI91" s="109">
        <v>12631.17</v>
      </c>
      <c r="BJ91" s="109">
        <v>203806.05</v>
      </c>
      <c r="BK91" s="109">
        <v>15051.72</v>
      </c>
      <c r="BL91" s="109">
        <v>277318.38</v>
      </c>
      <c r="BM91" s="109">
        <v>114746.88</v>
      </c>
      <c r="BN91" s="109">
        <v>52267.66</v>
      </c>
      <c r="BO91" s="109">
        <v>182946.45</v>
      </c>
      <c r="BP91" s="109">
        <v>9345.67</v>
      </c>
      <c r="BQ91" s="109">
        <v>123136.94</v>
      </c>
      <c r="BR91" s="109">
        <v>260369.49</v>
      </c>
      <c r="BS91" s="109">
        <v>4895</v>
      </c>
      <c r="BT91" s="109">
        <v>0</v>
      </c>
      <c r="BU91" s="109">
        <v>328066.34999999998</v>
      </c>
      <c r="BV91" s="109">
        <v>191837.39</v>
      </c>
      <c r="BW91" s="109">
        <v>67832.320000000007</v>
      </c>
      <c r="BX91" s="109">
        <v>382608.78</v>
      </c>
      <c r="BY91" s="109">
        <v>0</v>
      </c>
      <c r="BZ91" s="109">
        <v>0</v>
      </c>
      <c r="CA91" s="109">
        <v>183304</v>
      </c>
      <c r="CB91" s="109">
        <v>0</v>
      </c>
      <c r="CC91" s="109">
        <v>0</v>
      </c>
      <c r="CD91" s="109">
        <v>70306.87999999999</v>
      </c>
      <c r="CE91" s="109">
        <v>0</v>
      </c>
      <c r="CF91" s="109">
        <v>183304</v>
      </c>
      <c r="CG91" s="109">
        <v>0</v>
      </c>
      <c r="CH91" s="109">
        <v>0</v>
      </c>
      <c r="CI91" s="109">
        <v>0</v>
      </c>
      <c r="CJ91" s="109">
        <v>253611</v>
      </c>
      <c r="CK91" s="109"/>
      <c r="CL91" s="109">
        <v>2228245.3800000008</v>
      </c>
      <c r="CM91" s="109"/>
      <c r="CN91" s="93">
        <v>24491.869999999995</v>
      </c>
      <c r="CO91" s="109">
        <v>0</v>
      </c>
      <c r="CP91" s="109">
        <v>0</v>
      </c>
      <c r="CQ91" s="109">
        <v>0</v>
      </c>
      <c r="CR91" s="110"/>
      <c r="CS91" s="111">
        <v>2128681.88</v>
      </c>
      <c r="CT91" s="111">
        <v>0</v>
      </c>
      <c r="CU91" s="112">
        <v>2228245.38</v>
      </c>
      <c r="CV91" s="112">
        <v>-99563.5</v>
      </c>
      <c r="CW91" s="112">
        <v>-99563.5</v>
      </c>
      <c r="CX91" s="111">
        <v>-99563.5</v>
      </c>
      <c r="CY91" s="111">
        <v>2128681.88</v>
      </c>
      <c r="CZ91" s="113">
        <v>-45897</v>
      </c>
      <c r="DA91" s="111">
        <v>-45897</v>
      </c>
      <c r="DB91" s="111">
        <v>0.3600000012665987</v>
      </c>
      <c r="DC91" s="111">
        <v>0</v>
      </c>
      <c r="DD91" s="112">
        <v>-99563.5</v>
      </c>
      <c r="DF91" s="111">
        <v>0</v>
      </c>
      <c r="DI91" s="111">
        <v>2128681.88</v>
      </c>
      <c r="DJ91" s="111">
        <v>0</v>
      </c>
      <c r="DK91" s="112">
        <v>2228245.38</v>
      </c>
      <c r="DL91" s="112">
        <v>-99563.5</v>
      </c>
      <c r="DQ91" s="103">
        <v>3304201</v>
      </c>
      <c r="DT91" s="111">
        <f t="shared" si="17"/>
        <v>10163929.899999999</v>
      </c>
      <c r="DU91" s="111">
        <f t="shared" si="18"/>
        <v>9628733.8799999971</v>
      </c>
      <c r="DV91" s="111">
        <f t="shared" si="19"/>
        <v>535196.02000000142</v>
      </c>
      <c r="DW91" s="111">
        <f t="shared" si="20"/>
        <v>253610.88</v>
      </c>
      <c r="DX91" s="111">
        <f t="shared" si="21"/>
        <v>253611</v>
      </c>
      <c r="DY91" s="111">
        <f t="shared" si="23"/>
        <v>-0.11999999999534339</v>
      </c>
      <c r="EA91" s="111">
        <f t="shared" si="24"/>
        <v>1693049.36</v>
      </c>
      <c r="EB91" s="111">
        <f t="shared" si="25"/>
        <v>535196.02000000142</v>
      </c>
      <c r="EC91" s="111">
        <f t="shared" si="26"/>
        <v>2228245.3800000018</v>
      </c>
      <c r="ED91" s="111">
        <v>2228245.3800000018</v>
      </c>
      <c r="EE91" s="111">
        <f t="shared" si="22"/>
        <v>0</v>
      </c>
      <c r="EF91" s="111"/>
      <c r="EG91" s="111">
        <f t="shared" si="27"/>
        <v>24491.99</v>
      </c>
      <c r="EH91" s="111">
        <f t="shared" si="16"/>
        <v>-0.11999999999534339</v>
      </c>
      <c r="EI91" s="111">
        <f t="shared" si="28"/>
        <v>24491.870000000006</v>
      </c>
      <c r="EJ91" s="113">
        <v>24492.000000000011</v>
      </c>
      <c r="EK91" s="111">
        <f t="shared" si="29"/>
        <v>0.13000000000465661</v>
      </c>
    </row>
    <row r="92" spans="1:141" s="87" customFormat="1" x14ac:dyDescent="0.35">
      <c r="A92" s="87" t="str">
        <f>_xlfn.XLOOKUP(C92,[1]Adjustment!B:B,[1]Adjustment!H:H,0,0)</f>
        <v>Agree</v>
      </c>
      <c r="B92" s="87">
        <v>4237</v>
      </c>
      <c r="C92" s="88">
        <v>3304237</v>
      </c>
      <c r="D92" s="98" t="s">
        <v>300</v>
      </c>
      <c r="E92" s="89" t="s">
        <v>301</v>
      </c>
      <c r="F92" s="101"/>
      <c r="G92" s="99"/>
      <c r="H92" s="88"/>
      <c r="I92" s="88"/>
      <c r="J92" s="88"/>
      <c r="K92" s="88"/>
      <c r="L92" s="88"/>
      <c r="M92" s="88"/>
      <c r="N92" s="88"/>
      <c r="O92" s="88"/>
      <c r="P92" s="88"/>
      <c r="Q92" s="88"/>
      <c r="R92" s="88"/>
      <c r="S92" s="92"/>
      <c r="T92" s="92"/>
      <c r="U92" s="92"/>
      <c r="V92" s="92"/>
      <c r="W92" s="92"/>
      <c r="X92" s="92"/>
      <c r="Y92" s="93">
        <v>3561458</v>
      </c>
      <c r="Z92" s="93"/>
      <c r="AA92" s="93">
        <v>176578</v>
      </c>
      <c r="AB92" s="93">
        <v>10862049.310000001</v>
      </c>
      <c r="AC92" s="93">
        <v>1726669.33</v>
      </c>
      <c r="AD92" s="93">
        <v>100216.23</v>
      </c>
      <c r="AE92" s="93">
        <v>0</v>
      </c>
      <c r="AF92" s="93">
        <v>642036</v>
      </c>
      <c r="AG92" s="93">
        <v>33267.370000000003</v>
      </c>
      <c r="AH92" s="93">
        <v>0</v>
      </c>
      <c r="AI92" s="93">
        <v>0</v>
      </c>
      <c r="AJ92" s="93">
        <v>1969702.38</v>
      </c>
      <c r="AK92" s="93">
        <v>228231.86</v>
      </c>
      <c r="AL92" s="93">
        <v>0</v>
      </c>
      <c r="AM92" s="93">
        <v>0</v>
      </c>
      <c r="AN92" s="93">
        <v>72734.94</v>
      </c>
      <c r="AO92" s="93">
        <v>0</v>
      </c>
      <c r="AP92" s="93">
        <v>0</v>
      </c>
      <c r="AQ92" s="93">
        <v>0</v>
      </c>
      <c r="AR92" s="93">
        <v>0</v>
      </c>
      <c r="AS92" s="93">
        <v>0</v>
      </c>
      <c r="AT92" s="93">
        <v>0</v>
      </c>
      <c r="AU92" s="93">
        <v>242986.5</v>
      </c>
      <c r="AV92" s="93">
        <v>0</v>
      </c>
      <c r="AW92" s="93">
        <v>7737107.8799999999</v>
      </c>
      <c r="AX92" s="93">
        <v>0</v>
      </c>
      <c r="AY92" s="93">
        <v>1061539.22</v>
      </c>
      <c r="AZ92" s="93">
        <v>314944.67</v>
      </c>
      <c r="BA92" s="93">
        <v>827782.57</v>
      </c>
      <c r="BB92" s="93">
        <v>298585.31</v>
      </c>
      <c r="BC92" s="93">
        <v>60587.39</v>
      </c>
      <c r="BD92" s="93">
        <v>36536.25</v>
      </c>
      <c r="BE92" s="93">
        <v>18877.09</v>
      </c>
      <c r="BF92" s="93">
        <v>0</v>
      </c>
      <c r="BG92" s="93">
        <v>3394.5</v>
      </c>
      <c r="BH92" s="93">
        <v>1431015.5</v>
      </c>
      <c r="BI92" s="93">
        <v>11481.63</v>
      </c>
      <c r="BJ92" s="93">
        <v>3099.85</v>
      </c>
      <c r="BK92" s="93">
        <v>9091.64</v>
      </c>
      <c r="BL92" s="93">
        <v>401748.71</v>
      </c>
      <c r="BM92" s="93">
        <v>169804.79999999999</v>
      </c>
      <c r="BN92" s="93">
        <v>21923.67</v>
      </c>
      <c r="BO92" s="93">
        <v>440291.88</v>
      </c>
      <c r="BP92" s="93">
        <v>141725.99</v>
      </c>
      <c r="BQ92" s="93">
        <v>218319.11</v>
      </c>
      <c r="BR92" s="93">
        <v>127617.19</v>
      </c>
      <c r="BS92" s="93">
        <v>4895</v>
      </c>
      <c r="BT92" s="93">
        <v>15563.2</v>
      </c>
      <c r="BU92" s="93">
        <v>278306.11</v>
      </c>
      <c r="BV92" s="93">
        <v>143305.49</v>
      </c>
      <c r="BW92" s="93">
        <v>274026.43</v>
      </c>
      <c r="BX92" s="93">
        <v>174038.72</v>
      </c>
      <c r="BY92" s="93">
        <v>0</v>
      </c>
      <c r="BZ92" s="93">
        <v>0</v>
      </c>
      <c r="CA92" s="93"/>
      <c r="CB92" s="93">
        <v>0</v>
      </c>
      <c r="CC92" s="93">
        <v>0</v>
      </c>
      <c r="CD92" s="93">
        <v>36411.25</v>
      </c>
      <c r="CE92" s="93">
        <v>0</v>
      </c>
      <c r="CF92" s="93">
        <v>0</v>
      </c>
      <c r="CG92" s="93">
        <v>0</v>
      </c>
      <c r="CH92" s="93">
        <v>0</v>
      </c>
      <c r="CI92" s="93">
        <v>0</v>
      </c>
      <c r="CJ92" s="93">
        <v>0</v>
      </c>
      <c r="CK92" s="93"/>
      <c r="CL92" s="93">
        <v>5213742.1199999992</v>
      </c>
      <c r="CM92" s="93"/>
      <c r="CN92" s="93">
        <v>212989.25</v>
      </c>
      <c r="CO92" s="93">
        <v>0</v>
      </c>
      <c r="CP92" s="93">
        <v>0</v>
      </c>
      <c r="CQ92" s="93">
        <v>0</v>
      </c>
      <c r="CR92" s="100"/>
      <c r="CS92" s="95">
        <v>5213742.1199999973</v>
      </c>
      <c r="CT92" s="95">
        <v>722513.41999999993</v>
      </c>
      <c r="CU92" s="96">
        <v>5213742.12</v>
      </c>
      <c r="CV92" s="96">
        <v>722513.42</v>
      </c>
      <c r="CW92" s="96">
        <v>0</v>
      </c>
      <c r="CX92" s="95">
        <v>0</v>
      </c>
      <c r="CY92" s="95">
        <v>5936255.54</v>
      </c>
      <c r="CZ92" s="97">
        <v>-618414.57999999996</v>
      </c>
      <c r="DA92" s="95">
        <v>-618414.57999999996</v>
      </c>
      <c r="DB92" s="95">
        <v>0</v>
      </c>
      <c r="DC92" s="95">
        <v>0</v>
      </c>
      <c r="DD92" s="96"/>
      <c r="DF92" s="95">
        <v>-2.9103830456733704E-9</v>
      </c>
      <c r="DI92" s="95">
        <v>5213742.1199999973</v>
      </c>
      <c r="DJ92" s="95">
        <v>722513.41999999993</v>
      </c>
      <c r="DK92" s="96">
        <v>5213742.12</v>
      </c>
      <c r="DL92" s="96">
        <v>722513.42</v>
      </c>
      <c r="DQ92" s="88">
        <v>3304237</v>
      </c>
      <c r="DT92" s="95">
        <f t="shared" si="17"/>
        <v>15877893.92</v>
      </c>
      <c r="DU92" s="95">
        <f t="shared" si="18"/>
        <v>14225609.800000003</v>
      </c>
      <c r="DV92" s="95">
        <f t="shared" si="19"/>
        <v>1652284.1199999973</v>
      </c>
      <c r="DW92" s="95">
        <f t="shared" si="20"/>
        <v>36411.25</v>
      </c>
      <c r="DX92" s="95">
        <f t="shared" si="21"/>
        <v>0</v>
      </c>
      <c r="DY92" s="95">
        <f t="shared" si="23"/>
        <v>36411.25</v>
      </c>
      <c r="EA92" s="95">
        <f t="shared" si="24"/>
        <v>3561458</v>
      </c>
      <c r="EB92" s="95">
        <f t="shared" si="25"/>
        <v>1652284.1199999973</v>
      </c>
      <c r="EC92" s="95">
        <f t="shared" si="26"/>
        <v>5213742.1199999973</v>
      </c>
      <c r="ED92" s="95">
        <v>5213742.1199999973</v>
      </c>
      <c r="EE92" s="95">
        <f t="shared" si="22"/>
        <v>0</v>
      </c>
      <c r="EF92" s="95"/>
      <c r="EG92" s="95">
        <f t="shared" si="27"/>
        <v>176578</v>
      </c>
      <c r="EH92" s="95">
        <f t="shared" si="16"/>
        <v>36411.25</v>
      </c>
      <c r="EI92" s="95">
        <f t="shared" si="28"/>
        <v>212989.25</v>
      </c>
      <c r="EJ92" s="97">
        <v>212989.25</v>
      </c>
      <c r="EK92" s="95">
        <f t="shared" si="29"/>
        <v>0</v>
      </c>
    </row>
    <row r="93" spans="1:141" s="87" customFormat="1" x14ac:dyDescent="0.35">
      <c r="A93" s="87" t="str">
        <f>_xlfn.XLOOKUP(C93,[1]Adjustment!B:B,[1]Adjustment!H:H,0,0)</f>
        <v>Agree</v>
      </c>
      <c r="B93" s="87">
        <v>4606</v>
      </c>
      <c r="C93" s="88">
        <v>3304606</v>
      </c>
      <c r="D93" s="98" t="s">
        <v>302</v>
      </c>
      <c r="E93" s="89" t="s">
        <v>303</v>
      </c>
      <c r="F93" s="101"/>
      <c r="G93" s="99"/>
      <c r="H93" s="88"/>
      <c r="I93" s="88"/>
      <c r="J93" s="88"/>
      <c r="K93" s="88"/>
      <c r="L93" s="88"/>
      <c r="M93" s="88"/>
      <c r="N93" s="88"/>
      <c r="O93" s="88"/>
      <c r="P93" s="88"/>
      <c r="Q93" s="88"/>
      <c r="R93" s="88"/>
      <c r="S93" s="92"/>
      <c r="T93" s="92"/>
      <c r="U93" s="92"/>
      <c r="V93" s="92"/>
      <c r="W93" s="92"/>
      <c r="X93" s="92"/>
      <c r="Y93" s="93">
        <v>372856.87</v>
      </c>
      <c r="Z93" s="93"/>
      <c r="AA93" s="93">
        <v>0</v>
      </c>
      <c r="AB93" s="93">
        <v>5511896.5899999999</v>
      </c>
      <c r="AC93" s="93">
        <v>1105236</v>
      </c>
      <c r="AD93" s="93">
        <v>46505.64</v>
      </c>
      <c r="AE93" s="93">
        <v>0</v>
      </c>
      <c r="AF93" s="93">
        <v>267356</v>
      </c>
      <c r="AG93" s="93">
        <v>11061.23</v>
      </c>
      <c r="AH93" s="93">
        <v>0</v>
      </c>
      <c r="AI93" s="93">
        <v>0</v>
      </c>
      <c r="AJ93" s="93">
        <v>139632.32000000001</v>
      </c>
      <c r="AK93" s="93">
        <v>0</v>
      </c>
      <c r="AL93" s="93">
        <v>0</v>
      </c>
      <c r="AM93" s="93">
        <v>0</v>
      </c>
      <c r="AN93" s="93">
        <v>249564.18</v>
      </c>
      <c r="AO93" s="93">
        <v>0</v>
      </c>
      <c r="AP93" s="93">
        <v>0</v>
      </c>
      <c r="AQ93" s="93">
        <v>0</v>
      </c>
      <c r="AR93" s="93">
        <v>0</v>
      </c>
      <c r="AS93" s="93">
        <v>0</v>
      </c>
      <c r="AT93" s="93">
        <v>0</v>
      </c>
      <c r="AU93" s="93">
        <v>95939.25</v>
      </c>
      <c r="AV93" s="93">
        <v>0</v>
      </c>
      <c r="AW93" s="93">
        <v>4630899.7699999996</v>
      </c>
      <c r="AX93" s="93">
        <v>0</v>
      </c>
      <c r="AY93" s="93">
        <v>541197.19999999995</v>
      </c>
      <c r="AZ93" s="93">
        <v>71282.12</v>
      </c>
      <c r="BA93" s="93">
        <v>446339.92</v>
      </c>
      <c r="BB93" s="93">
        <v>0</v>
      </c>
      <c r="BC93" s="93">
        <v>35968.559999999998</v>
      </c>
      <c r="BD93" s="93">
        <v>53549.53</v>
      </c>
      <c r="BE93" s="93">
        <v>8007.82</v>
      </c>
      <c r="BF93" s="93">
        <v>0</v>
      </c>
      <c r="BG93" s="93">
        <v>0</v>
      </c>
      <c r="BH93" s="93">
        <v>51621.599999999999</v>
      </c>
      <c r="BI93" s="93">
        <v>10163.459999999999</v>
      </c>
      <c r="BJ93" s="93">
        <v>142108.96</v>
      </c>
      <c r="BK93" s="93">
        <v>8437.39</v>
      </c>
      <c r="BL93" s="93">
        <v>183427.63</v>
      </c>
      <c r="BM93" s="93">
        <v>22228.99</v>
      </c>
      <c r="BN93" s="93">
        <v>21963.07</v>
      </c>
      <c r="BO93" s="93">
        <v>278243.28000000061</v>
      </c>
      <c r="BP93" s="93">
        <v>168987.35</v>
      </c>
      <c r="BQ93" s="93">
        <v>115067.12</v>
      </c>
      <c r="BR93" s="93">
        <v>173348.44</v>
      </c>
      <c r="BS93" s="93">
        <v>4895</v>
      </c>
      <c r="BT93" s="93">
        <v>0</v>
      </c>
      <c r="BU93" s="93">
        <v>77491.199999999997</v>
      </c>
      <c r="BV93" s="93">
        <v>71385.2</v>
      </c>
      <c r="BW93" s="93">
        <v>121798.8</v>
      </c>
      <c r="BX93" s="93">
        <v>143310.34</v>
      </c>
      <c r="BY93" s="93">
        <v>0</v>
      </c>
      <c r="BZ93" s="93">
        <v>0</v>
      </c>
      <c r="CA93" s="93"/>
      <c r="CB93" s="93">
        <v>0</v>
      </c>
      <c r="CC93" s="93">
        <v>0</v>
      </c>
      <c r="CD93" s="93">
        <v>23662.799999999999</v>
      </c>
      <c r="CE93" s="93">
        <v>0</v>
      </c>
      <c r="CF93" s="93">
        <v>0</v>
      </c>
      <c r="CG93" s="93">
        <v>0</v>
      </c>
      <c r="CH93" s="93">
        <v>0</v>
      </c>
      <c r="CI93" s="93">
        <v>23662.799999999999</v>
      </c>
      <c r="CJ93" s="93">
        <v>0</v>
      </c>
      <c r="CK93" s="93"/>
      <c r="CL93" s="93">
        <v>418325.33000000007</v>
      </c>
      <c r="CM93" s="93"/>
      <c r="CN93" s="93">
        <v>0</v>
      </c>
      <c r="CO93" s="93">
        <v>0</v>
      </c>
      <c r="CP93" s="93">
        <v>0</v>
      </c>
      <c r="CQ93" s="93">
        <v>0</v>
      </c>
      <c r="CR93" s="100"/>
      <c r="CS93" s="95">
        <v>418325.32999999996</v>
      </c>
      <c r="CT93" s="95">
        <v>0</v>
      </c>
      <c r="CU93" s="96">
        <v>418325.33</v>
      </c>
      <c r="CV93" s="96">
        <v>0</v>
      </c>
      <c r="CW93" s="96">
        <v>0</v>
      </c>
      <c r="CX93" s="95">
        <v>0</v>
      </c>
      <c r="CY93" s="95">
        <v>418325.33</v>
      </c>
      <c r="CZ93" s="97">
        <v>0</v>
      </c>
      <c r="DA93" s="95">
        <v>0</v>
      </c>
      <c r="DB93" s="95">
        <v>0</v>
      </c>
      <c r="DC93" s="95">
        <v>-2.9999999387655407E-2</v>
      </c>
      <c r="DD93" s="96"/>
      <c r="DF93" s="95">
        <v>-5.8207660913467407E-11</v>
      </c>
      <c r="DI93" s="95">
        <v>418325.32999999996</v>
      </c>
      <c r="DJ93" s="95">
        <v>0</v>
      </c>
      <c r="DK93" s="96">
        <v>418325.33</v>
      </c>
      <c r="DL93" s="96">
        <v>0</v>
      </c>
      <c r="DQ93" s="88">
        <v>3304606</v>
      </c>
      <c r="DT93" s="95">
        <f t="shared" si="17"/>
        <v>7427191.21</v>
      </c>
      <c r="DU93" s="95">
        <f t="shared" si="18"/>
        <v>7381722.75</v>
      </c>
      <c r="DV93" s="95">
        <f t="shared" si="19"/>
        <v>45468.459999999963</v>
      </c>
      <c r="DW93" s="95">
        <f t="shared" si="20"/>
        <v>23662.799999999999</v>
      </c>
      <c r="DX93" s="95">
        <f t="shared" si="21"/>
        <v>23662.799999999999</v>
      </c>
      <c r="DY93" s="95">
        <f t="shared" si="23"/>
        <v>0</v>
      </c>
      <c r="EA93" s="95">
        <f t="shared" si="24"/>
        <v>372856.87</v>
      </c>
      <c r="EB93" s="95">
        <f t="shared" si="25"/>
        <v>45468.459999999963</v>
      </c>
      <c r="EC93" s="95">
        <f t="shared" si="26"/>
        <v>418325.32999999996</v>
      </c>
      <c r="ED93" s="95">
        <v>418325.32999999996</v>
      </c>
      <c r="EE93" s="95">
        <f t="shared" si="22"/>
        <v>0</v>
      </c>
      <c r="EF93" s="95"/>
      <c r="EG93" s="95">
        <f t="shared" si="27"/>
        <v>0</v>
      </c>
      <c r="EH93" s="95">
        <f t="shared" si="16"/>
        <v>0</v>
      </c>
      <c r="EI93" s="95">
        <f t="shared" si="28"/>
        <v>0</v>
      </c>
      <c r="EJ93" s="97">
        <v>0</v>
      </c>
      <c r="EK93" s="95">
        <f t="shared" si="29"/>
        <v>0</v>
      </c>
    </row>
    <row r="94" spans="1:141" s="87" customFormat="1" x14ac:dyDescent="0.35">
      <c r="A94" s="87" t="str">
        <f>_xlfn.XLOOKUP(C94,[1]Adjustment!B:B,[1]Adjustment!H:H,0,0)</f>
        <v>Agree</v>
      </c>
      <c r="B94" s="87">
        <v>5202</v>
      </c>
      <c r="C94" s="88">
        <v>3305202</v>
      </c>
      <c r="D94" s="98" t="s">
        <v>304</v>
      </c>
      <c r="E94" s="89" t="s">
        <v>305</v>
      </c>
      <c r="F94" s="101"/>
      <c r="G94" s="99"/>
      <c r="H94" s="88"/>
      <c r="I94" s="88"/>
      <c r="J94" s="88"/>
      <c r="K94" s="88"/>
      <c r="L94" s="88"/>
      <c r="M94" s="88"/>
      <c r="N94" s="88"/>
      <c r="O94" s="88"/>
      <c r="P94" s="88"/>
      <c r="Q94" s="88"/>
      <c r="R94" s="88"/>
      <c r="S94" s="92"/>
      <c r="T94" s="92"/>
      <c r="U94" s="92"/>
      <c r="V94" s="92"/>
      <c r="W94" s="92"/>
      <c r="X94" s="92"/>
      <c r="Y94" s="93">
        <v>203908.44</v>
      </c>
      <c r="Z94" s="93"/>
      <c r="AA94" s="93">
        <v>40204.620000000003</v>
      </c>
      <c r="AB94" s="93">
        <v>1644453.6</v>
      </c>
      <c r="AC94" s="93">
        <v>0</v>
      </c>
      <c r="AD94" s="93">
        <v>92687.13</v>
      </c>
      <c r="AE94" s="93">
        <v>0</v>
      </c>
      <c r="AF94" s="93">
        <v>67245.5</v>
      </c>
      <c r="AG94" s="93">
        <v>1400</v>
      </c>
      <c r="AH94" s="93">
        <v>0</v>
      </c>
      <c r="AI94" s="93">
        <v>0</v>
      </c>
      <c r="AJ94" s="93">
        <v>136045.90999999989</v>
      </c>
      <c r="AK94" s="93">
        <v>94758.47</v>
      </c>
      <c r="AL94" s="93">
        <v>0</v>
      </c>
      <c r="AM94" s="93">
        <v>0</v>
      </c>
      <c r="AN94" s="93">
        <v>77547.570000000007</v>
      </c>
      <c r="AO94" s="93">
        <v>0</v>
      </c>
      <c r="AP94" s="93">
        <v>0</v>
      </c>
      <c r="AQ94" s="93">
        <v>0</v>
      </c>
      <c r="AR94" s="93">
        <v>0</v>
      </c>
      <c r="AS94" s="93">
        <v>0</v>
      </c>
      <c r="AT94" s="93">
        <v>0</v>
      </c>
      <c r="AU94" s="93">
        <v>4560.88</v>
      </c>
      <c r="AV94" s="93">
        <v>19600</v>
      </c>
      <c r="AW94" s="93">
        <v>1093247.04</v>
      </c>
      <c r="AX94" s="93">
        <v>759.21</v>
      </c>
      <c r="AY94" s="93">
        <v>281173.5</v>
      </c>
      <c r="AZ94" s="93">
        <v>40528.93</v>
      </c>
      <c r="BA94" s="93">
        <v>126147.12</v>
      </c>
      <c r="BB94" s="93">
        <v>82406.55</v>
      </c>
      <c r="BC94" s="93">
        <v>38537.68</v>
      </c>
      <c r="BD94" s="93">
        <v>225</v>
      </c>
      <c r="BE94" s="93">
        <v>6496.08</v>
      </c>
      <c r="BF94" s="93">
        <v>0</v>
      </c>
      <c r="BG94" s="93">
        <v>0</v>
      </c>
      <c r="BH94" s="93">
        <v>53252.11</v>
      </c>
      <c r="BI94" s="93">
        <v>8413.94</v>
      </c>
      <c r="BJ94" s="93">
        <v>40005.31</v>
      </c>
      <c r="BK94" s="93">
        <v>6438.56</v>
      </c>
      <c r="BL94" s="93">
        <v>44001.42</v>
      </c>
      <c r="BM94" s="93">
        <v>6483.46</v>
      </c>
      <c r="BN94" s="93">
        <v>4583.3</v>
      </c>
      <c r="BO94" s="93">
        <v>101230.32</v>
      </c>
      <c r="BP94" s="93">
        <v>4472.8900000000003</v>
      </c>
      <c r="BQ94" s="93">
        <v>0</v>
      </c>
      <c r="BR94" s="93">
        <v>57277.96</v>
      </c>
      <c r="BS94" s="93">
        <v>4895</v>
      </c>
      <c r="BT94" s="93">
        <v>3663.4</v>
      </c>
      <c r="BU94" s="93">
        <v>41453.199999999997</v>
      </c>
      <c r="BV94" s="93">
        <v>58473.5</v>
      </c>
      <c r="BW94" s="93">
        <v>0</v>
      </c>
      <c r="BX94" s="93">
        <v>40553.75</v>
      </c>
      <c r="BY94" s="93">
        <v>0</v>
      </c>
      <c r="BZ94" s="93">
        <v>0</v>
      </c>
      <c r="CA94" s="93"/>
      <c r="CB94" s="93">
        <v>0</v>
      </c>
      <c r="CC94" s="93">
        <v>0</v>
      </c>
      <c r="CD94" s="93">
        <v>8044.38</v>
      </c>
      <c r="CE94" s="93">
        <v>0</v>
      </c>
      <c r="CF94" s="93">
        <v>0</v>
      </c>
      <c r="CG94" s="93">
        <v>0</v>
      </c>
      <c r="CH94" s="93">
        <v>0</v>
      </c>
      <c r="CI94" s="93">
        <v>0</v>
      </c>
      <c r="CJ94" s="93">
        <v>22153</v>
      </c>
      <c r="CK94" s="93"/>
      <c r="CL94" s="93">
        <v>197488.27000000002</v>
      </c>
      <c r="CM94" s="93"/>
      <c r="CN94" s="93">
        <v>26096</v>
      </c>
      <c r="CO94" s="93">
        <v>0</v>
      </c>
      <c r="CP94" s="93">
        <v>0</v>
      </c>
      <c r="CQ94" s="93">
        <v>0</v>
      </c>
      <c r="CR94" s="100"/>
      <c r="CS94" s="95">
        <v>197488.27000000008</v>
      </c>
      <c r="CT94" s="95">
        <v>26095.970000000005</v>
      </c>
      <c r="CU94" s="96">
        <v>197488.27</v>
      </c>
      <c r="CV94" s="96">
        <v>26095.97</v>
      </c>
      <c r="CW94" s="96">
        <v>0</v>
      </c>
      <c r="CX94" s="95">
        <v>0</v>
      </c>
      <c r="CY94" s="95">
        <v>223584.24</v>
      </c>
      <c r="CZ94" s="97">
        <v>0</v>
      </c>
      <c r="DA94" s="95">
        <v>0</v>
      </c>
      <c r="DB94" s="95">
        <v>4.0000000124564394E-2</v>
      </c>
      <c r="DC94" s="95">
        <v>0</v>
      </c>
      <c r="DD94" s="96"/>
      <c r="DF94" s="95">
        <v>8.7311491370201111E-11</v>
      </c>
      <c r="DI94" s="95">
        <v>197488.27000000008</v>
      </c>
      <c r="DJ94" s="95">
        <v>26095.970000000005</v>
      </c>
      <c r="DK94" s="96">
        <v>197488.27</v>
      </c>
      <c r="DL94" s="96">
        <v>26095.97</v>
      </c>
      <c r="DQ94" s="88">
        <v>3305202</v>
      </c>
      <c r="DT94" s="95">
        <f t="shared" si="17"/>
        <v>2138299.0599999996</v>
      </c>
      <c r="DU94" s="95">
        <f t="shared" si="18"/>
        <v>2144719.2299999995</v>
      </c>
      <c r="DV94" s="95">
        <f t="shared" si="19"/>
        <v>-6420.1699999999255</v>
      </c>
      <c r="DW94" s="95">
        <f t="shared" si="20"/>
        <v>8044.38</v>
      </c>
      <c r="DX94" s="95">
        <f t="shared" si="21"/>
        <v>22153</v>
      </c>
      <c r="DY94" s="95">
        <f t="shared" si="23"/>
        <v>-14108.619999999999</v>
      </c>
      <c r="EA94" s="95">
        <f t="shared" si="24"/>
        <v>203908.44</v>
      </c>
      <c r="EB94" s="95">
        <f t="shared" si="25"/>
        <v>-6420.1699999999255</v>
      </c>
      <c r="EC94" s="95">
        <f t="shared" si="26"/>
        <v>197488.27000000008</v>
      </c>
      <c r="ED94" s="95">
        <v>197488.27000000008</v>
      </c>
      <c r="EE94" s="95">
        <f t="shared" si="22"/>
        <v>0</v>
      </c>
      <c r="EF94" s="95"/>
      <c r="EG94" s="95">
        <f t="shared" si="27"/>
        <v>40204.620000000003</v>
      </c>
      <c r="EH94" s="95">
        <f t="shared" si="16"/>
        <v>-14108.619999999999</v>
      </c>
      <c r="EI94" s="95">
        <f t="shared" si="28"/>
        <v>26096.000000000004</v>
      </c>
      <c r="EJ94" s="97">
        <v>26096</v>
      </c>
      <c r="EK94" s="95">
        <f t="shared" si="29"/>
        <v>0</v>
      </c>
    </row>
    <row r="95" spans="1:141" s="102" customFormat="1" x14ac:dyDescent="0.35">
      <c r="A95" s="102" t="str">
        <f>_xlfn.XLOOKUP(C95,[1]Adjustment!B:B,[1]Adjustment!H:H,0,0)</f>
        <v>Agree</v>
      </c>
      <c r="B95" s="87">
        <v>5203</v>
      </c>
      <c r="C95" s="103">
        <v>3305203</v>
      </c>
      <c r="D95" s="104" t="s">
        <v>306</v>
      </c>
      <c r="E95" s="105" t="s">
        <v>307</v>
      </c>
      <c r="F95" s="106"/>
      <c r="G95" s="107"/>
      <c r="H95" s="103"/>
      <c r="I95" s="103"/>
      <c r="J95" s="103"/>
      <c r="K95" s="103"/>
      <c r="L95" s="103"/>
      <c r="M95" s="103"/>
      <c r="N95" s="103"/>
      <c r="O95" s="103"/>
      <c r="P95" s="103"/>
      <c r="Q95" s="103"/>
      <c r="R95" s="103"/>
      <c r="S95" s="108"/>
      <c r="T95" s="108"/>
      <c r="U95" s="108"/>
      <c r="V95" s="108"/>
      <c r="W95" s="108"/>
      <c r="X95" s="108"/>
      <c r="Y95" s="109">
        <v>100182.03</v>
      </c>
      <c r="Z95" s="109"/>
      <c r="AA95" s="109">
        <v>0</v>
      </c>
      <c r="AB95" s="109">
        <v>1514135.14</v>
      </c>
      <c r="AC95" s="109">
        <v>0</v>
      </c>
      <c r="AD95" s="109">
        <v>39296.25</v>
      </c>
      <c r="AE95" s="109">
        <v>0</v>
      </c>
      <c r="AF95" s="109">
        <v>32011</v>
      </c>
      <c r="AG95" s="109">
        <v>4313.8599999999997</v>
      </c>
      <c r="AH95" s="109">
        <v>0</v>
      </c>
      <c r="AI95" s="109">
        <v>0</v>
      </c>
      <c r="AJ95" s="109">
        <v>81688.009999999806</v>
      </c>
      <c r="AK95" s="109">
        <v>17169</v>
      </c>
      <c r="AL95" s="109">
        <v>0</v>
      </c>
      <c r="AM95" s="109">
        <v>0</v>
      </c>
      <c r="AN95" s="109">
        <v>118685.31</v>
      </c>
      <c r="AO95" s="109">
        <v>0</v>
      </c>
      <c r="AP95" s="109">
        <v>0</v>
      </c>
      <c r="AQ95" s="109">
        <v>0</v>
      </c>
      <c r="AR95" s="109">
        <v>0</v>
      </c>
      <c r="AS95" s="109">
        <v>0</v>
      </c>
      <c r="AT95" s="109">
        <v>0</v>
      </c>
      <c r="AU95" s="109">
        <v>2237.12</v>
      </c>
      <c r="AV95" s="109">
        <v>124355</v>
      </c>
      <c r="AW95" s="109">
        <v>807053.62999999977</v>
      </c>
      <c r="AX95" s="109">
        <v>0</v>
      </c>
      <c r="AY95" s="109">
        <v>395508.87</v>
      </c>
      <c r="AZ95" s="109">
        <v>20244.91</v>
      </c>
      <c r="BA95" s="109">
        <v>96863.92</v>
      </c>
      <c r="BB95" s="109">
        <v>88145.02</v>
      </c>
      <c r="BC95" s="109">
        <v>82567.360000000001</v>
      </c>
      <c r="BD95" s="109">
        <v>0</v>
      </c>
      <c r="BE95" s="109">
        <v>3431.99</v>
      </c>
      <c r="BF95" s="109">
        <v>0</v>
      </c>
      <c r="BG95" s="109">
        <v>0</v>
      </c>
      <c r="BH95" s="109">
        <v>36004.230000000003</v>
      </c>
      <c r="BI95" s="109">
        <v>5218.09</v>
      </c>
      <c r="BJ95" s="109">
        <v>41267.18</v>
      </c>
      <c r="BK95" s="109">
        <v>3847.99</v>
      </c>
      <c r="BL95" s="109">
        <v>52764.53</v>
      </c>
      <c r="BM95" s="109">
        <v>4090.75</v>
      </c>
      <c r="BN95" s="109">
        <v>10188.049999999999</v>
      </c>
      <c r="BO95" s="109">
        <v>16237.13</v>
      </c>
      <c r="BP95" s="109">
        <v>20598.599999999999</v>
      </c>
      <c r="BQ95" s="109">
        <v>0</v>
      </c>
      <c r="BR95" s="109">
        <v>37223.230000000003</v>
      </c>
      <c r="BS95" s="109">
        <v>4895</v>
      </c>
      <c r="BT95" s="109">
        <v>0</v>
      </c>
      <c r="BU95" s="109">
        <v>55460.75</v>
      </c>
      <c r="BV95" s="109">
        <v>70517.070000000007</v>
      </c>
      <c r="BW95" s="109">
        <v>18236.47</v>
      </c>
      <c r="BX95" s="109">
        <v>88377.5</v>
      </c>
      <c r="BY95" s="109">
        <v>0</v>
      </c>
      <c r="BZ95" s="109">
        <v>0</v>
      </c>
      <c r="CA95" s="109">
        <v>2016</v>
      </c>
      <c r="CB95" s="109">
        <v>0</v>
      </c>
      <c r="CC95" s="109">
        <v>0</v>
      </c>
      <c r="CD95" s="109">
        <v>7699</v>
      </c>
      <c r="CE95" s="109">
        <v>0</v>
      </c>
      <c r="CF95" s="109">
        <v>2016</v>
      </c>
      <c r="CG95" s="109">
        <v>0</v>
      </c>
      <c r="CH95" s="109">
        <v>0</v>
      </c>
      <c r="CI95" s="109">
        <v>0</v>
      </c>
      <c r="CJ95" s="109">
        <v>9715</v>
      </c>
      <c r="CK95" s="109"/>
      <c r="CL95" s="109">
        <v>73314.450000000186</v>
      </c>
      <c r="CM95" s="109"/>
      <c r="CN95" s="93">
        <v>0</v>
      </c>
      <c r="CO95" s="109">
        <v>0</v>
      </c>
      <c r="CP95" s="109">
        <v>0</v>
      </c>
      <c r="CQ95" s="109">
        <v>0</v>
      </c>
      <c r="CR95" s="110"/>
      <c r="CS95" s="111">
        <v>31460.51999999999</v>
      </c>
      <c r="CT95" s="111">
        <v>0</v>
      </c>
      <c r="CU95" s="112">
        <v>73314.45</v>
      </c>
      <c r="CV95" s="112">
        <v>-41853.93</v>
      </c>
      <c r="CW95" s="112">
        <v>-41853.930000000008</v>
      </c>
      <c r="CX95" s="111">
        <v>-41853.93</v>
      </c>
      <c r="CY95" s="111">
        <v>31460.519999999997</v>
      </c>
      <c r="CZ95" s="113">
        <v>-17880</v>
      </c>
      <c r="DA95" s="111">
        <v>-17880</v>
      </c>
      <c r="DB95" s="111">
        <v>3.0000000188010745E-2</v>
      </c>
      <c r="DC95" s="111">
        <v>0</v>
      </c>
      <c r="DD95" s="112">
        <v>-41853.93</v>
      </c>
      <c r="DF95" s="111">
        <v>0</v>
      </c>
      <c r="DI95" s="111">
        <v>31460.51999999999</v>
      </c>
      <c r="DJ95" s="111">
        <v>0</v>
      </c>
      <c r="DK95" s="112">
        <v>73314.45</v>
      </c>
      <c r="DL95" s="112">
        <v>-41853.93</v>
      </c>
      <c r="DQ95" s="103">
        <v>3305203</v>
      </c>
      <c r="DT95" s="111">
        <f t="shared" si="17"/>
        <v>1933890.69</v>
      </c>
      <c r="DU95" s="111">
        <f t="shared" si="18"/>
        <v>1960758.2699999998</v>
      </c>
      <c r="DV95" s="111">
        <f t="shared" si="19"/>
        <v>-26867.579999999842</v>
      </c>
      <c r="DW95" s="111">
        <f t="shared" si="20"/>
        <v>9715</v>
      </c>
      <c r="DX95" s="111">
        <f t="shared" si="21"/>
        <v>9715</v>
      </c>
      <c r="DY95" s="111">
        <f t="shared" si="23"/>
        <v>0</v>
      </c>
      <c r="EA95" s="111">
        <f t="shared" si="24"/>
        <v>100182.03</v>
      </c>
      <c r="EB95" s="111">
        <f t="shared" si="25"/>
        <v>-26867.579999999842</v>
      </c>
      <c r="EC95" s="111">
        <f t="shared" si="26"/>
        <v>73314.450000000157</v>
      </c>
      <c r="ED95" s="111">
        <v>73314.450000000157</v>
      </c>
      <c r="EE95" s="111">
        <f t="shared" si="22"/>
        <v>0</v>
      </c>
      <c r="EF95" s="111"/>
      <c r="EG95" s="111">
        <f t="shared" si="27"/>
        <v>0</v>
      </c>
      <c r="EH95" s="111">
        <f t="shared" si="16"/>
        <v>0</v>
      </c>
      <c r="EI95" s="111">
        <f t="shared" si="28"/>
        <v>0</v>
      </c>
      <c r="EJ95" s="113">
        <v>0</v>
      </c>
      <c r="EK95" s="111">
        <f t="shared" si="29"/>
        <v>0</v>
      </c>
    </row>
    <row r="96" spans="1:141" s="87" customFormat="1" x14ac:dyDescent="0.35">
      <c r="A96" s="87" t="str">
        <f>_xlfn.XLOOKUP(C96,[1]Adjustment!B:B,[1]Adjustment!H:H,0,0)</f>
        <v>Agree</v>
      </c>
      <c r="B96" s="87">
        <v>5413</v>
      </c>
      <c r="C96" s="88">
        <v>3305413</v>
      </c>
      <c r="D96" s="98" t="s">
        <v>308</v>
      </c>
      <c r="E96" s="89" t="s">
        <v>309</v>
      </c>
      <c r="F96" s="101"/>
      <c r="G96" s="99"/>
      <c r="H96" s="88"/>
      <c r="I96" s="88"/>
      <c r="J96" s="88"/>
      <c r="K96" s="88"/>
      <c r="L96" s="88"/>
      <c r="M96" s="88"/>
      <c r="N96" s="88"/>
      <c r="O96" s="88"/>
      <c r="P96" s="88"/>
      <c r="Q96" s="88"/>
      <c r="R96" s="88"/>
      <c r="S96" s="92"/>
      <c r="T96" s="92"/>
      <c r="U96" s="92"/>
      <c r="V96" s="92"/>
      <c r="W96" s="92"/>
      <c r="X96" s="92"/>
      <c r="Y96" s="93">
        <v>351126.83</v>
      </c>
      <c r="Z96" s="93"/>
      <c r="AA96" s="93">
        <v>0</v>
      </c>
      <c r="AB96" s="93">
        <v>6610539.04</v>
      </c>
      <c r="AC96" s="93">
        <v>1350227</v>
      </c>
      <c r="AD96" s="93">
        <v>71739.399999999994</v>
      </c>
      <c r="AE96" s="93">
        <v>0</v>
      </c>
      <c r="AF96" s="93">
        <v>368000</v>
      </c>
      <c r="AG96" s="93">
        <v>35310.879999999997</v>
      </c>
      <c r="AH96" s="93">
        <v>0</v>
      </c>
      <c r="AI96" s="93">
        <v>0</v>
      </c>
      <c r="AJ96" s="93">
        <v>3518575.0500000003</v>
      </c>
      <c r="AK96" s="93">
        <v>266253.15000000002</v>
      </c>
      <c r="AL96" s="93">
        <v>0</v>
      </c>
      <c r="AM96" s="93">
        <v>0</v>
      </c>
      <c r="AN96" s="93">
        <v>353613.98</v>
      </c>
      <c r="AO96" s="93">
        <v>0</v>
      </c>
      <c r="AP96" s="93">
        <v>0</v>
      </c>
      <c r="AQ96" s="93">
        <v>0</v>
      </c>
      <c r="AR96" s="93">
        <v>0</v>
      </c>
      <c r="AS96" s="93">
        <v>0</v>
      </c>
      <c r="AT96" s="93">
        <v>0</v>
      </c>
      <c r="AU96" s="93">
        <v>131849.62</v>
      </c>
      <c r="AV96" s="93">
        <v>0</v>
      </c>
      <c r="AW96" s="93">
        <v>5935088.1900000023</v>
      </c>
      <c r="AX96" s="93">
        <v>0</v>
      </c>
      <c r="AY96" s="93">
        <v>1091930.31</v>
      </c>
      <c r="AZ96" s="93">
        <v>455530.22</v>
      </c>
      <c r="BA96" s="93">
        <v>1046436.93</v>
      </c>
      <c r="BB96" s="93">
        <v>253327.42</v>
      </c>
      <c r="BC96" s="93">
        <v>66262.710000000006</v>
      </c>
      <c r="BD96" s="93">
        <v>8262.5</v>
      </c>
      <c r="BE96" s="93">
        <v>7031.24</v>
      </c>
      <c r="BF96" s="93">
        <v>0</v>
      </c>
      <c r="BG96" s="93">
        <v>0</v>
      </c>
      <c r="BH96" s="93">
        <v>28655.93</v>
      </c>
      <c r="BI96" s="93">
        <v>0</v>
      </c>
      <c r="BJ96" s="93">
        <v>35188.959999999999</v>
      </c>
      <c r="BK96" s="93">
        <v>8310.89</v>
      </c>
      <c r="BL96" s="93">
        <v>483514.17</v>
      </c>
      <c r="BM96" s="93">
        <v>23978.5</v>
      </c>
      <c r="BN96" s="93">
        <v>71537.649999999994</v>
      </c>
      <c r="BO96" s="93">
        <v>578680.43999999994</v>
      </c>
      <c r="BP96" s="93">
        <v>85916.58</v>
      </c>
      <c r="BQ96" s="93">
        <v>143257.76999999999</v>
      </c>
      <c r="BR96" s="93">
        <v>205284.61</v>
      </c>
      <c r="BS96" s="93">
        <v>4895</v>
      </c>
      <c r="BT96" s="93">
        <v>0</v>
      </c>
      <c r="BU96" s="93">
        <v>285947.73</v>
      </c>
      <c r="BV96" s="93">
        <v>158719.94</v>
      </c>
      <c r="BW96" s="93">
        <v>1670943.87</v>
      </c>
      <c r="BX96" s="93">
        <v>136338.17000000001</v>
      </c>
      <c r="BY96" s="93">
        <v>0</v>
      </c>
      <c r="BZ96" s="93">
        <v>0</v>
      </c>
      <c r="CA96" s="93"/>
      <c r="CB96" s="93">
        <v>0</v>
      </c>
      <c r="CC96" s="93">
        <v>0</v>
      </c>
      <c r="CD96" s="93">
        <v>28112.74</v>
      </c>
      <c r="CE96" s="93">
        <v>0</v>
      </c>
      <c r="CF96" s="93">
        <v>0</v>
      </c>
      <c r="CG96" s="93">
        <v>0</v>
      </c>
      <c r="CH96" s="93">
        <v>0</v>
      </c>
      <c r="CI96" s="93">
        <v>28112.74</v>
      </c>
      <c r="CJ96" s="93">
        <v>0</v>
      </c>
      <c r="CK96" s="93"/>
      <c r="CL96" s="93">
        <v>272195.22000000067</v>
      </c>
      <c r="CM96" s="93"/>
      <c r="CN96" s="93">
        <v>0</v>
      </c>
      <c r="CO96" s="93">
        <v>0</v>
      </c>
      <c r="CP96" s="93">
        <v>0</v>
      </c>
      <c r="CQ96" s="93">
        <v>0</v>
      </c>
      <c r="CR96" s="100"/>
      <c r="CS96" s="95">
        <v>272195.22000000061</v>
      </c>
      <c r="CT96" s="95">
        <v>0</v>
      </c>
      <c r="CU96" s="96">
        <v>272195.21999999997</v>
      </c>
      <c r="CV96" s="96">
        <v>0</v>
      </c>
      <c r="CW96" s="96">
        <v>6.4028427004814148E-10</v>
      </c>
      <c r="CX96" s="95">
        <v>0</v>
      </c>
      <c r="CY96" s="95">
        <v>272195.21999999997</v>
      </c>
      <c r="CZ96" s="97">
        <v>0</v>
      </c>
      <c r="DA96" s="95">
        <v>0</v>
      </c>
      <c r="DB96" s="95">
        <v>2.9999999969732016E-2</v>
      </c>
      <c r="DC96" s="95">
        <v>0</v>
      </c>
      <c r="DD96" s="96"/>
      <c r="DF96" s="95">
        <v>6.4028427004814148E-10</v>
      </c>
      <c r="DI96" s="95">
        <v>272195.22000000061</v>
      </c>
      <c r="DJ96" s="95">
        <v>0</v>
      </c>
      <c r="DK96" s="96">
        <v>272195.21999999997</v>
      </c>
      <c r="DL96" s="96">
        <v>0</v>
      </c>
      <c r="DQ96" s="88">
        <v>3305413</v>
      </c>
      <c r="DT96" s="95">
        <f t="shared" si="17"/>
        <v>12706108.120000003</v>
      </c>
      <c r="DU96" s="95">
        <f t="shared" si="18"/>
        <v>12785039.730000002</v>
      </c>
      <c r="DV96" s="95">
        <f t="shared" si="19"/>
        <v>-78931.609999999404</v>
      </c>
      <c r="DW96" s="95">
        <f t="shared" si="20"/>
        <v>28112.74</v>
      </c>
      <c r="DX96" s="95">
        <f t="shared" si="21"/>
        <v>28112.74</v>
      </c>
      <c r="DY96" s="95">
        <f t="shared" si="23"/>
        <v>0</v>
      </c>
      <c r="EA96" s="95">
        <f t="shared" si="24"/>
        <v>351126.83</v>
      </c>
      <c r="EB96" s="95">
        <f t="shared" si="25"/>
        <v>-78931.609999999404</v>
      </c>
      <c r="EC96" s="95">
        <f t="shared" si="26"/>
        <v>272195.22000000061</v>
      </c>
      <c r="ED96" s="95">
        <v>272195.21999999875</v>
      </c>
      <c r="EE96" s="95">
        <f t="shared" si="22"/>
        <v>1.862645149230957E-9</v>
      </c>
      <c r="EF96" s="95"/>
      <c r="EG96" s="95">
        <f t="shared" si="27"/>
        <v>0</v>
      </c>
      <c r="EH96" s="95">
        <f t="shared" si="16"/>
        <v>0</v>
      </c>
      <c r="EI96" s="95">
        <f t="shared" si="28"/>
        <v>0</v>
      </c>
      <c r="EJ96" s="97">
        <v>0</v>
      </c>
      <c r="EK96" s="95">
        <f t="shared" si="29"/>
        <v>0</v>
      </c>
    </row>
    <row r="97" spans="1:141" s="87" customFormat="1" x14ac:dyDescent="0.35">
      <c r="A97" s="87" t="str">
        <f>_xlfn.XLOOKUP(C97,[1]Adjustment!B:B,[1]Adjustment!H:H,0,0)</f>
        <v>Agree</v>
      </c>
      <c r="B97" s="87">
        <v>7006</v>
      </c>
      <c r="C97" s="88">
        <v>3307006</v>
      </c>
      <c r="D97" s="98" t="s">
        <v>310</v>
      </c>
      <c r="E97" s="89" t="s">
        <v>311</v>
      </c>
      <c r="F97" s="101"/>
      <c r="G97" s="99"/>
      <c r="H97" s="88"/>
      <c r="I97" s="88"/>
      <c r="J97" s="88"/>
      <c r="K97" s="88"/>
      <c r="L97" s="88"/>
      <c r="M97" s="88"/>
      <c r="N97" s="88"/>
      <c r="O97" s="88"/>
      <c r="P97" s="88"/>
      <c r="Q97" s="88"/>
      <c r="R97" s="88"/>
      <c r="S97" s="92"/>
      <c r="T97" s="92"/>
      <c r="U97" s="92"/>
      <c r="V97" s="92"/>
      <c r="W97" s="92"/>
      <c r="X97" s="92"/>
      <c r="Y97" s="93">
        <v>201651.93</v>
      </c>
      <c r="Z97" s="93"/>
      <c r="AA97" s="93">
        <v>101644.93</v>
      </c>
      <c r="AB97" s="93">
        <v>31349.58</v>
      </c>
      <c r="AC97" s="93">
        <v>0</v>
      </c>
      <c r="AD97" s="93">
        <v>3959484.66</v>
      </c>
      <c r="AE97" s="93">
        <v>0</v>
      </c>
      <c r="AF97" s="93">
        <v>104760</v>
      </c>
      <c r="AG97" s="93">
        <v>5656.93</v>
      </c>
      <c r="AH97" s="93">
        <v>0</v>
      </c>
      <c r="AI97" s="93">
        <v>0</v>
      </c>
      <c r="AJ97" s="93">
        <v>402771.95999999985</v>
      </c>
      <c r="AK97" s="93">
        <v>0</v>
      </c>
      <c r="AL97" s="93">
        <v>0</v>
      </c>
      <c r="AM97" s="93">
        <v>0</v>
      </c>
      <c r="AN97" s="93">
        <v>2426.9899999999998</v>
      </c>
      <c r="AO97" s="93">
        <v>0</v>
      </c>
      <c r="AP97" s="93">
        <v>0</v>
      </c>
      <c r="AQ97" s="93">
        <v>0</v>
      </c>
      <c r="AR97" s="93">
        <v>0</v>
      </c>
      <c r="AS97" s="93">
        <v>0</v>
      </c>
      <c r="AT97" s="93">
        <v>0</v>
      </c>
      <c r="AU97" s="93">
        <v>24870.43</v>
      </c>
      <c r="AV97" s="93">
        <v>28825</v>
      </c>
      <c r="AW97" s="93">
        <v>1075037.5099999991</v>
      </c>
      <c r="AX97" s="93">
        <v>0</v>
      </c>
      <c r="AY97" s="93">
        <v>1667931.69</v>
      </c>
      <c r="AZ97" s="93">
        <v>68890.559999999998</v>
      </c>
      <c r="BA97" s="93">
        <v>290300.32</v>
      </c>
      <c r="BB97" s="93">
        <v>0</v>
      </c>
      <c r="BC97" s="93">
        <v>214431.56</v>
      </c>
      <c r="BD97" s="93">
        <v>3380.7</v>
      </c>
      <c r="BE97" s="93">
        <v>36139.72</v>
      </c>
      <c r="BF97" s="93">
        <v>0</v>
      </c>
      <c r="BG97" s="93">
        <v>0</v>
      </c>
      <c r="BH97" s="93">
        <v>51594.38</v>
      </c>
      <c r="BI97" s="93">
        <v>0</v>
      </c>
      <c r="BJ97" s="93">
        <v>47160.05</v>
      </c>
      <c r="BK97" s="93">
        <v>10899.37</v>
      </c>
      <c r="BL97" s="93">
        <v>44802.29</v>
      </c>
      <c r="BM97" s="93">
        <v>0</v>
      </c>
      <c r="BN97" s="93">
        <v>6145.28</v>
      </c>
      <c r="BO97" s="93">
        <v>136732.70000000001</v>
      </c>
      <c r="BP97" s="93">
        <v>0</v>
      </c>
      <c r="BQ97" s="93">
        <v>0</v>
      </c>
      <c r="BR97" s="93">
        <v>52360.51</v>
      </c>
      <c r="BS97" s="93">
        <v>4531.8</v>
      </c>
      <c r="BT97" s="93">
        <v>0</v>
      </c>
      <c r="BU97" s="93">
        <v>101551.52</v>
      </c>
      <c r="BV97" s="93">
        <v>0</v>
      </c>
      <c r="BW97" s="93">
        <v>1308.1400000000001</v>
      </c>
      <c r="BX97" s="93">
        <v>662550.57999999996</v>
      </c>
      <c r="BY97" s="93">
        <v>0</v>
      </c>
      <c r="BZ97" s="93">
        <v>0</v>
      </c>
      <c r="CA97" s="93"/>
      <c r="CB97" s="93">
        <v>0</v>
      </c>
      <c r="CC97" s="93">
        <v>0</v>
      </c>
      <c r="CD97" s="93">
        <v>10075</v>
      </c>
      <c r="CE97" s="93">
        <v>0</v>
      </c>
      <c r="CF97" s="93">
        <v>0</v>
      </c>
      <c r="CG97" s="93">
        <v>0</v>
      </c>
      <c r="CH97" s="93">
        <v>0</v>
      </c>
      <c r="CI97" s="93">
        <v>9226</v>
      </c>
      <c r="CJ97" s="93">
        <v>0</v>
      </c>
      <c r="CK97" s="93"/>
      <c r="CL97" s="93">
        <v>286048.80000000075</v>
      </c>
      <c r="CM97" s="93"/>
      <c r="CN97" s="93">
        <v>102493.93</v>
      </c>
      <c r="CO97" s="93">
        <v>0</v>
      </c>
      <c r="CP97" s="93">
        <v>0</v>
      </c>
      <c r="CQ97" s="93">
        <v>0</v>
      </c>
      <c r="CR97" s="100"/>
      <c r="CS97" s="95">
        <v>286048.8000000001</v>
      </c>
      <c r="CT97" s="95">
        <v>89005.69</v>
      </c>
      <c r="CU97" s="96">
        <v>286048.8</v>
      </c>
      <c r="CV97" s="96">
        <v>89005.69</v>
      </c>
      <c r="CW97" s="96">
        <v>0</v>
      </c>
      <c r="CX97" s="95">
        <v>0</v>
      </c>
      <c r="CY97" s="95">
        <v>375054.49</v>
      </c>
      <c r="CZ97" s="97">
        <v>85801.12000000001</v>
      </c>
      <c r="DA97" s="95">
        <v>85801.12000000001</v>
      </c>
      <c r="DB97" s="95">
        <v>4.0000000153668225E-2</v>
      </c>
      <c r="DC97" s="95">
        <v>0</v>
      </c>
      <c r="DD97" s="96"/>
      <c r="DF97" s="95">
        <v>1.1641532182693481E-10</v>
      </c>
      <c r="DI97" s="95">
        <v>286048.8000000001</v>
      </c>
      <c r="DJ97" s="95">
        <v>89005.69</v>
      </c>
      <c r="DK97" s="96">
        <v>286048.8</v>
      </c>
      <c r="DL97" s="96">
        <v>89005.69</v>
      </c>
      <c r="DQ97" s="88">
        <v>3307006</v>
      </c>
      <c r="DT97" s="95">
        <f t="shared" si="17"/>
        <v>4560145.55</v>
      </c>
      <c r="DU97" s="95">
        <f t="shared" si="18"/>
        <v>4475748.6799999988</v>
      </c>
      <c r="DV97" s="95">
        <f t="shared" si="19"/>
        <v>84396.870000001043</v>
      </c>
      <c r="DW97" s="95">
        <f t="shared" ref="DW97:DW102" si="30">SUM(CD97:CF97)</f>
        <v>10075</v>
      </c>
      <c r="DX97" s="95">
        <f t="shared" si="21"/>
        <v>9226</v>
      </c>
      <c r="DY97" s="95">
        <f t="shared" si="23"/>
        <v>849</v>
      </c>
      <c r="EA97" s="95">
        <f t="shared" si="24"/>
        <v>201651.93</v>
      </c>
      <c r="EB97" s="95">
        <f t="shared" si="25"/>
        <v>84396.870000001043</v>
      </c>
      <c r="EC97" s="95">
        <f t="shared" si="26"/>
        <v>286048.80000000104</v>
      </c>
      <c r="ED97" s="95">
        <v>286048.80000000104</v>
      </c>
      <c r="EE97" s="95">
        <f t="shared" si="22"/>
        <v>0</v>
      </c>
      <c r="EF97" s="95"/>
      <c r="EG97" s="95">
        <f t="shared" si="27"/>
        <v>101644.93</v>
      </c>
      <c r="EH97" s="95">
        <f t="shared" si="16"/>
        <v>849</v>
      </c>
      <c r="EI97" s="95">
        <f t="shared" si="28"/>
        <v>102493.93</v>
      </c>
      <c r="EJ97" s="97">
        <v>102493.93</v>
      </c>
      <c r="EK97" s="95">
        <f t="shared" si="29"/>
        <v>0</v>
      </c>
    </row>
    <row r="98" spans="1:141" s="102" customFormat="1" x14ac:dyDescent="0.35">
      <c r="A98" s="102" t="str">
        <f>_xlfn.XLOOKUP(C98,[1]Adjustment!B:B,[1]Adjustment!H:H,0,0)</f>
        <v>Agree</v>
      </c>
      <c r="B98" s="87">
        <v>7009</v>
      </c>
      <c r="C98" s="103">
        <v>3307009</v>
      </c>
      <c r="D98" s="104" t="s">
        <v>312</v>
      </c>
      <c r="E98" s="105" t="s">
        <v>313</v>
      </c>
      <c r="F98" s="106"/>
      <c r="G98" s="107"/>
      <c r="H98" s="103"/>
      <c r="I98" s="103"/>
      <c r="J98" s="103"/>
      <c r="K98" s="103"/>
      <c r="L98" s="103"/>
      <c r="M98" s="103"/>
      <c r="N98" s="103"/>
      <c r="O98" s="103"/>
      <c r="P98" s="103"/>
      <c r="Q98" s="103"/>
      <c r="R98" s="103"/>
      <c r="S98" s="108"/>
      <c r="T98" s="108"/>
      <c r="U98" s="108"/>
      <c r="V98" s="108"/>
      <c r="W98" s="108"/>
      <c r="X98" s="108"/>
      <c r="Y98" s="109">
        <v>1047790.42</v>
      </c>
      <c r="Z98" s="109"/>
      <c r="AA98" s="109">
        <v>0</v>
      </c>
      <c r="AB98" s="109">
        <v>80153.440000000002</v>
      </c>
      <c r="AC98" s="109">
        <v>0</v>
      </c>
      <c r="AD98" s="109">
        <v>5723053.1600000001</v>
      </c>
      <c r="AE98" s="109">
        <v>0</v>
      </c>
      <c r="AF98" s="109">
        <v>153520</v>
      </c>
      <c r="AG98" s="109">
        <v>3456.93</v>
      </c>
      <c r="AH98" s="109">
        <v>0</v>
      </c>
      <c r="AI98" s="109">
        <v>0</v>
      </c>
      <c r="AJ98" s="109">
        <v>1699652.7000000007</v>
      </c>
      <c r="AK98" s="109">
        <v>18027.05</v>
      </c>
      <c r="AL98" s="109">
        <v>0</v>
      </c>
      <c r="AM98" s="109">
        <v>0</v>
      </c>
      <c r="AN98" s="109">
        <v>2686.56</v>
      </c>
      <c r="AO98" s="109">
        <v>67521.3</v>
      </c>
      <c r="AP98" s="109">
        <v>0</v>
      </c>
      <c r="AQ98" s="109">
        <v>0</v>
      </c>
      <c r="AR98" s="109">
        <v>0</v>
      </c>
      <c r="AS98" s="109">
        <v>0</v>
      </c>
      <c r="AT98" s="109">
        <v>0</v>
      </c>
      <c r="AU98" s="109">
        <v>55544.75</v>
      </c>
      <c r="AV98" s="109">
        <v>26504</v>
      </c>
      <c r="AW98" s="109">
        <v>2055718.7299999995</v>
      </c>
      <c r="AX98" s="109">
        <v>0</v>
      </c>
      <c r="AY98" s="109">
        <v>2998039.23</v>
      </c>
      <c r="AZ98" s="109">
        <v>270714.38</v>
      </c>
      <c r="BA98" s="109">
        <v>384895.62</v>
      </c>
      <c r="BB98" s="109">
        <v>0</v>
      </c>
      <c r="BC98" s="109">
        <v>141481.78</v>
      </c>
      <c r="BD98" s="109">
        <v>23411.34</v>
      </c>
      <c r="BE98" s="109">
        <v>9968.64</v>
      </c>
      <c r="BF98" s="109">
        <v>0</v>
      </c>
      <c r="BG98" s="109">
        <v>0</v>
      </c>
      <c r="BH98" s="109">
        <v>89478.29</v>
      </c>
      <c r="BI98" s="109">
        <v>4550.03</v>
      </c>
      <c r="BJ98" s="109">
        <v>4197.5600000000004</v>
      </c>
      <c r="BK98" s="109">
        <v>27563.96</v>
      </c>
      <c r="BL98" s="109">
        <v>241841.84</v>
      </c>
      <c r="BM98" s="109">
        <v>0</v>
      </c>
      <c r="BN98" s="109">
        <v>28154.57</v>
      </c>
      <c r="BO98" s="109">
        <v>133420</v>
      </c>
      <c r="BP98" s="109">
        <v>66183.69</v>
      </c>
      <c r="BQ98" s="109">
        <v>2741.13</v>
      </c>
      <c r="BR98" s="109">
        <v>113822.39</v>
      </c>
      <c r="BS98" s="109">
        <v>4895</v>
      </c>
      <c r="BT98" s="109">
        <v>0</v>
      </c>
      <c r="BU98" s="109">
        <v>155475.37</v>
      </c>
      <c r="BV98" s="109">
        <v>378253.24</v>
      </c>
      <c r="BW98" s="109">
        <v>69728</v>
      </c>
      <c r="BX98" s="109">
        <v>89015.91</v>
      </c>
      <c r="BY98" s="109">
        <v>0</v>
      </c>
      <c r="BZ98" s="109">
        <v>0</v>
      </c>
      <c r="CA98" s="109">
        <v>59023</v>
      </c>
      <c r="CB98" s="109">
        <v>0</v>
      </c>
      <c r="CC98" s="109">
        <v>0</v>
      </c>
      <c r="CD98" s="109">
        <v>45567</v>
      </c>
      <c r="CE98" s="109"/>
      <c r="CF98" s="109">
        <v>59023</v>
      </c>
      <c r="CG98" s="109">
        <v>0</v>
      </c>
      <c r="CH98" s="109">
        <v>0</v>
      </c>
      <c r="CI98" s="109">
        <v>0</v>
      </c>
      <c r="CJ98" s="109">
        <v>59022.74</v>
      </c>
      <c r="CK98" s="109"/>
      <c r="CL98" s="109">
        <v>1525336.6100000013</v>
      </c>
      <c r="CM98" s="109"/>
      <c r="CN98" s="93">
        <v>45567.26</v>
      </c>
      <c r="CO98" s="109">
        <v>0</v>
      </c>
      <c r="CP98" s="109">
        <v>0</v>
      </c>
      <c r="CQ98" s="109">
        <v>0</v>
      </c>
      <c r="CR98" s="110"/>
      <c r="CS98" s="111">
        <v>1555340.5599999996</v>
      </c>
      <c r="CT98" s="111">
        <v>33313.490000000005</v>
      </c>
      <c r="CU98" s="112">
        <v>1555340.56</v>
      </c>
      <c r="CV98" s="112">
        <v>33313.49</v>
      </c>
      <c r="CW98" s="112">
        <v>0</v>
      </c>
      <c r="CX98" s="111">
        <v>0</v>
      </c>
      <c r="CY98" s="111">
        <v>1588654.05</v>
      </c>
      <c r="CZ98" s="113">
        <v>53901.039999999994</v>
      </c>
      <c r="DA98" s="111">
        <v>53901.039999999994</v>
      </c>
      <c r="DB98" s="111">
        <v>0.41999999945983291</v>
      </c>
      <c r="DC98" s="111">
        <v>0</v>
      </c>
      <c r="DD98" s="112"/>
      <c r="DF98" s="111">
        <v>-4.7293724492192268E-10</v>
      </c>
      <c r="DI98" s="111">
        <v>1555340.5599999996</v>
      </c>
      <c r="DJ98" s="111">
        <v>33313.490000000005</v>
      </c>
      <c r="DK98" s="112">
        <v>1555340.56</v>
      </c>
      <c r="DL98" s="112">
        <v>33313.49</v>
      </c>
      <c r="DQ98" s="103">
        <v>3307009</v>
      </c>
      <c r="DT98" s="111">
        <f t="shared" si="17"/>
        <v>7830119.8899999997</v>
      </c>
      <c r="DU98" s="111">
        <f t="shared" si="18"/>
        <v>7352573.6999999993</v>
      </c>
      <c r="DV98" s="111">
        <f t="shared" si="19"/>
        <v>477546.19000000041</v>
      </c>
      <c r="DW98" s="111">
        <f t="shared" si="30"/>
        <v>104590</v>
      </c>
      <c r="DX98" s="111">
        <f t="shared" si="21"/>
        <v>59022.74</v>
      </c>
      <c r="DY98" s="111">
        <f t="shared" si="23"/>
        <v>45567.26</v>
      </c>
      <c r="EA98" s="111">
        <f t="shared" si="24"/>
        <v>1047790.42</v>
      </c>
      <c r="EB98" s="111">
        <f t="shared" si="25"/>
        <v>477546.19000000041</v>
      </c>
      <c r="EC98" s="111">
        <f t="shared" si="26"/>
        <v>1525336.6100000003</v>
      </c>
      <c r="ED98" s="111">
        <v>1525336.6100000003</v>
      </c>
      <c r="EE98" s="111">
        <f t="shared" si="22"/>
        <v>0</v>
      </c>
      <c r="EF98" s="111"/>
      <c r="EG98" s="111">
        <f t="shared" si="27"/>
        <v>0</v>
      </c>
      <c r="EH98" s="111">
        <f t="shared" si="16"/>
        <v>45567.26</v>
      </c>
      <c r="EI98" s="111">
        <f t="shared" si="28"/>
        <v>45567.26</v>
      </c>
      <c r="EJ98" s="113">
        <v>45567.26</v>
      </c>
      <c r="EK98" s="111">
        <f t="shared" si="29"/>
        <v>0</v>
      </c>
    </row>
    <row r="99" spans="1:141" s="87" customFormat="1" x14ac:dyDescent="0.35">
      <c r="A99" s="87" t="str">
        <f>_xlfn.XLOOKUP(C99,[1]Adjustment!B:B,[1]Adjustment!H:H,0,0)</f>
        <v>Agree</v>
      </c>
      <c r="B99" s="87">
        <v>7035</v>
      </c>
      <c r="C99" s="88">
        <v>3307035</v>
      </c>
      <c r="D99" s="98" t="s">
        <v>314</v>
      </c>
      <c r="E99" s="89" t="s">
        <v>315</v>
      </c>
      <c r="F99" s="101"/>
      <c r="G99" s="99"/>
      <c r="H99" s="88"/>
      <c r="I99" s="88"/>
      <c r="J99" s="88"/>
      <c r="K99" s="88"/>
      <c r="L99" s="88"/>
      <c r="M99" s="88"/>
      <c r="N99" s="88"/>
      <c r="O99" s="88"/>
      <c r="P99" s="88"/>
      <c r="Q99" s="88"/>
      <c r="R99" s="88"/>
      <c r="S99" s="92"/>
      <c r="T99" s="92"/>
      <c r="U99" s="92"/>
      <c r="V99" s="92"/>
      <c r="W99" s="92"/>
      <c r="X99" s="92"/>
      <c r="Y99" s="93">
        <v>479438.47</v>
      </c>
      <c r="Z99" s="93"/>
      <c r="AA99" s="93">
        <v>58161.5</v>
      </c>
      <c r="AB99" s="93">
        <v>39710.53</v>
      </c>
      <c r="AC99" s="93">
        <v>0</v>
      </c>
      <c r="AD99" s="93">
        <v>2927906.43</v>
      </c>
      <c r="AE99" s="93">
        <v>0</v>
      </c>
      <c r="AF99" s="93">
        <v>113805</v>
      </c>
      <c r="AG99" s="93">
        <v>1056.93</v>
      </c>
      <c r="AH99" s="93">
        <v>0</v>
      </c>
      <c r="AI99" s="93">
        <v>0</v>
      </c>
      <c r="AJ99" s="93">
        <v>302305.10000000132</v>
      </c>
      <c r="AK99" s="93">
        <v>0</v>
      </c>
      <c r="AL99" s="93">
        <v>0</v>
      </c>
      <c r="AM99" s="93">
        <v>0</v>
      </c>
      <c r="AN99" s="93">
        <v>1563.87</v>
      </c>
      <c r="AO99" s="93">
        <v>0</v>
      </c>
      <c r="AP99" s="93">
        <v>0</v>
      </c>
      <c r="AQ99" s="93">
        <v>0</v>
      </c>
      <c r="AR99" s="93">
        <v>0</v>
      </c>
      <c r="AS99" s="93">
        <v>0</v>
      </c>
      <c r="AT99" s="93">
        <v>0</v>
      </c>
      <c r="AU99" s="93">
        <v>64537.57</v>
      </c>
      <c r="AV99" s="93">
        <v>31010</v>
      </c>
      <c r="AW99" s="93">
        <v>1146308.2400000014</v>
      </c>
      <c r="AX99" s="93">
        <v>0</v>
      </c>
      <c r="AY99" s="93">
        <v>1097138.45</v>
      </c>
      <c r="AZ99" s="93">
        <v>0</v>
      </c>
      <c r="BA99" s="93">
        <v>324176.28000000003</v>
      </c>
      <c r="BB99" s="93">
        <v>0</v>
      </c>
      <c r="BC99" s="93">
        <v>28441.83</v>
      </c>
      <c r="BD99" s="93">
        <v>0</v>
      </c>
      <c r="BE99" s="93">
        <v>12606.31</v>
      </c>
      <c r="BF99" s="93">
        <v>0</v>
      </c>
      <c r="BG99" s="93">
        <v>0</v>
      </c>
      <c r="BH99" s="93">
        <v>69647.17</v>
      </c>
      <c r="BI99" s="93">
        <v>127.29</v>
      </c>
      <c r="BJ99" s="93">
        <v>34973.18</v>
      </c>
      <c r="BK99" s="93">
        <v>3468.12</v>
      </c>
      <c r="BL99" s="93">
        <v>41212.019999999997</v>
      </c>
      <c r="BM99" s="93">
        <v>0</v>
      </c>
      <c r="BN99" s="93">
        <v>5264.41</v>
      </c>
      <c r="BO99" s="93">
        <v>71670</v>
      </c>
      <c r="BP99" s="93">
        <v>18046.240000000002</v>
      </c>
      <c r="BQ99" s="93">
        <v>170</v>
      </c>
      <c r="BR99" s="93">
        <v>45060.93</v>
      </c>
      <c r="BS99" s="93">
        <v>4895</v>
      </c>
      <c r="BT99" s="93">
        <v>2739.2</v>
      </c>
      <c r="BU99" s="93">
        <v>92705.45</v>
      </c>
      <c r="BV99" s="93">
        <v>230560.51</v>
      </c>
      <c r="BW99" s="93">
        <v>0</v>
      </c>
      <c r="BX99" s="93">
        <v>183594.75</v>
      </c>
      <c r="BY99" s="93">
        <v>0</v>
      </c>
      <c r="BZ99" s="93">
        <v>0</v>
      </c>
      <c r="CA99" s="93"/>
      <c r="CB99" s="93">
        <v>0</v>
      </c>
      <c r="CC99" s="93">
        <v>0</v>
      </c>
      <c r="CD99" s="93">
        <v>11543.13</v>
      </c>
      <c r="CE99" s="93">
        <v>23540.5</v>
      </c>
      <c r="CF99" s="93">
        <v>0</v>
      </c>
      <c r="CG99" s="93">
        <v>0</v>
      </c>
      <c r="CH99" s="93">
        <v>0</v>
      </c>
      <c r="CI99" s="93">
        <v>0</v>
      </c>
      <c r="CJ99" s="93">
        <v>57689</v>
      </c>
      <c r="CK99" s="93"/>
      <c r="CL99" s="93">
        <v>548528.51999999862</v>
      </c>
      <c r="CM99" s="93"/>
      <c r="CN99" s="93">
        <v>35556.130000000005</v>
      </c>
      <c r="CO99" s="93">
        <v>0</v>
      </c>
      <c r="CP99" s="93">
        <v>0</v>
      </c>
      <c r="CQ99" s="93">
        <v>0</v>
      </c>
      <c r="CR99" s="100"/>
      <c r="CS99" s="95">
        <v>476665.45000000042</v>
      </c>
      <c r="CT99" s="95">
        <v>0</v>
      </c>
      <c r="CU99" s="96">
        <v>547856.62</v>
      </c>
      <c r="CV99" s="96">
        <v>-71191.17</v>
      </c>
      <c r="CW99" s="96">
        <v>-71191.169999999576</v>
      </c>
      <c r="CX99" s="95">
        <v>-71191.17</v>
      </c>
      <c r="CY99" s="95">
        <v>476665.45</v>
      </c>
      <c r="CZ99" s="97">
        <v>23540.500000000015</v>
      </c>
      <c r="DA99" s="95">
        <v>23540.500000000015</v>
      </c>
      <c r="DB99" s="95">
        <v>10345.969999998691</v>
      </c>
      <c r="DC99" s="95">
        <v>0</v>
      </c>
      <c r="DD99" s="96">
        <v>-71191.17</v>
      </c>
      <c r="DF99" s="95">
        <v>4.220055416226387E-10</v>
      </c>
      <c r="DI99" s="95">
        <v>476665.45000000042</v>
      </c>
      <c r="DJ99" s="95">
        <v>0</v>
      </c>
      <c r="DK99" s="96">
        <v>547856.62</v>
      </c>
      <c r="DL99" s="96">
        <v>-71191.17</v>
      </c>
      <c r="DQ99" s="88">
        <v>3307035</v>
      </c>
      <c r="DT99" s="95">
        <f t="shared" si="17"/>
        <v>3481895.4300000016</v>
      </c>
      <c r="DU99" s="95">
        <f t="shared" si="18"/>
        <v>3412805.3800000027</v>
      </c>
      <c r="DV99" s="95">
        <f t="shared" si="19"/>
        <v>69090.049999998882</v>
      </c>
      <c r="DW99" s="95">
        <f t="shared" si="30"/>
        <v>35083.629999999997</v>
      </c>
      <c r="DX99" s="95">
        <f t="shared" si="21"/>
        <v>57689</v>
      </c>
      <c r="DY99" s="95">
        <f t="shared" si="23"/>
        <v>-22605.370000000003</v>
      </c>
      <c r="EA99" s="95">
        <f t="shared" si="24"/>
        <v>479438.47</v>
      </c>
      <c r="EB99" s="95">
        <f t="shared" si="25"/>
        <v>69090.049999998882</v>
      </c>
      <c r="EC99" s="95">
        <f t="shared" si="26"/>
        <v>548528.51999999885</v>
      </c>
      <c r="ED99" s="95">
        <v>548528.51999999885</v>
      </c>
      <c r="EE99" s="95">
        <f t="shared" si="22"/>
        <v>0</v>
      </c>
      <c r="EF99" s="95"/>
      <c r="EG99" s="95">
        <f t="shared" si="27"/>
        <v>58161.5</v>
      </c>
      <c r="EH99" s="95">
        <f t="shared" si="16"/>
        <v>-22605.370000000003</v>
      </c>
      <c r="EI99" s="95">
        <f t="shared" si="28"/>
        <v>35556.129999999997</v>
      </c>
      <c r="EJ99" s="97">
        <v>35556.129999999997</v>
      </c>
      <c r="EK99" s="95">
        <f t="shared" si="29"/>
        <v>0</v>
      </c>
    </row>
    <row r="100" spans="1:141" s="102" customFormat="1" x14ac:dyDescent="0.35">
      <c r="A100" s="102" t="str">
        <f>_xlfn.XLOOKUP(C100,[1]Adjustment!B:B,[1]Adjustment!H:H,0,0)</f>
        <v>Agree</v>
      </c>
      <c r="B100" s="87">
        <v>7051</v>
      </c>
      <c r="C100" s="103">
        <v>3307051</v>
      </c>
      <c r="D100" s="104" t="s">
        <v>316</v>
      </c>
      <c r="E100" s="105" t="s">
        <v>317</v>
      </c>
      <c r="F100" s="106"/>
      <c r="G100" s="107"/>
      <c r="H100" s="103"/>
      <c r="I100" s="103"/>
      <c r="J100" s="103"/>
      <c r="K100" s="103"/>
      <c r="L100" s="103"/>
      <c r="M100" s="103"/>
      <c r="N100" s="103"/>
      <c r="O100" s="103"/>
      <c r="P100" s="103"/>
      <c r="Q100" s="103"/>
      <c r="R100" s="103"/>
      <c r="S100" s="108"/>
      <c r="T100" s="108"/>
      <c r="U100" s="108"/>
      <c r="V100" s="108"/>
      <c r="W100" s="108"/>
      <c r="X100" s="108"/>
      <c r="Y100" s="109">
        <v>521831.85</v>
      </c>
      <c r="Z100" s="109"/>
      <c r="AA100" s="109">
        <v>0</v>
      </c>
      <c r="AB100" s="109">
        <v>29385.78</v>
      </c>
      <c r="AC100" s="109">
        <v>0</v>
      </c>
      <c r="AD100" s="109">
        <v>2645470.79</v>
      </c>
      <c r="AE100" s="109">
        <v>0</v>
      </c>
      <c r="AF100" s="109">
        <v>98941</v>
      </c>
      <c r="AG100" s="109">
        <v>3456.93</v>
      </c>
      <c r="AH100" s="109">
        <v>0</v>
      </c>
      <c r="AI100" s="109">
        <v>0</v>
      </c>
      <c r="AJ100" s="109">
        <v>156411.89000000001</v>
      </c>
      <c r="AK100" s="109">
        <v>6307.7</v>
      </c>
      <c r="AL100" s="109">
        <v>0</v>
      </c>
      <c r="AM100" s="109">
        <v>0</v>
      </c>
      <c r="AN100" s="109">
        <v>789.31</v>
      </c>
      <c r="AO100" s="109">
        <v>0</v>
      </c>
      <c r="AP100" s="109">
        <v>0</v>
      </c>
      <c r="AQ100" s="109">
        <v>0</v>
      </c>
      <c r="AR100" s="109">
        <v>0</v>
      </c>
      <c r="AS100" s="109">
        <v>0</v>
      </c>
      <c r="AT100" s="109">
        <v>0</v>
      </c>
      <c r="AU100" s="109">
        <v>22688</v>
      </c>
      <c r="AV100" s="109">
        <v>21153</v>
      </c>
      <c r="AW100" s="109">
        <v>685294.42999999947</v>
      </c>
      <c r="AX100" s="109">
        <v>0</v>
      </c>
      <c r="AY100" s="109">
        <v>970175.05</v>
      </c>
      <c r="AZ100" s="109">
        <v>125751.33</v>
      </c>
      <c r="BA100" s="109">
        <v>146459.95000000001</v>
      </c>
      <c r="BB100" s="109">
        <v>0</v>
      </c>
      <c r="BC100" s="109">
        <v>29746.46</v>
      </c>
      <c r="BD100" s="109">
        <v>4770.25</v>
      </c>
      <c r="BE100" s="109">
        <v>10078.049999999999</v>
      </c>
      <c r="BF100" s="109">
        <v>0</v>
      </c>
      <c r="BG100" s="109">
        <v>0</v>
      </c>
      <c r="BH100" s="109">
        <v>43786.22</v>
      </c>
      <c r="BI100" s="109">
        <v>6595</v>
      </c>
      <c r="BJ100" s="109">
        <v>380</v>
      </c>
      <c r="BK100" s="109">
        <v>3406.06</v>
      </c>
      <c r="BL100" s="109">
        <v>38016.870000000003</v>
      </c>
      <c r="BM100" s="109">
        <v>0</v>
      </c>
      <c r="BN100" s="109">
        <v>9620.36</v>
      </c>
      <c r="BO100" s="109">
        <v>74506.770000000426</v>
      </c>
      <c r="BP100" s="109">
        <v>16696.03</v>
      </c>
      <c r="BQ100" s="109">
        <v>0</v>
      </c>
      <c r="BR100" s="109">
        <v>20408.560000000001</v>
      </c>
      <c r="BS100" s="109">
        <v>4895</v>
      </c>
      <c r="BT100" s="109">
        <v>0</v>
      </c>
      <c r="BU100" s="109">
        <v>91782.59</v>
      </c>
      <c r="BV100" s="109">
        <v>466291.56</v>
      </c>
      <c r="BW100" s="109">
        <v>18029</v>
      </c>
      <c r="BX100" s="109">
        <v>79321.539999999994</v>
      </c>
      <c r="BY100" s="109">
        <v>0</v>
      </c>
      <c r="BZ100" s="109">
        <v>0</v>
      </c>
      <c r="CA100" s="109">
        <v>8848</v>
      </c>
      <c r="CB100" s="109">
        <v>0</v>
      </c>
      <c r="CC100" s="109">
        <v>0</v>
      </c>
      <c r="CD100" s="109">
        <v>38117</v>
      </c>
      <c r="CE100" s="109">
        <v>0</v>
      </c>
      <c r="CF100" s="109">
        <v>8848</v>
      </c>
      <c r="CG100" s="109">
        <v>0</v>
      </c>
      <c r="CH100" s="109">
        <v>0</v>
      </c>
      <c r="CI100" s="109">
        <v>0</v>
      </c>
      <c r="CJ100" s="109">
        <v>37295</v>
      </c>
      <c r="CK100" s="109"/>
      <c r="CL100" s="109">
        <v>651577.17000000039</v>
      </c>
      <c r="CM100" s="109"/>
      <c r="CN100" s="93">
        <v>9670</v>
      </c>
      <c r="CO100" s="109">
        <v>0</v>
      </c>
      <c r="CP100" s="109">
        <v>0</v>
      </c>
      <c r="CQ100" s="109">
        <v>0</v>
      </c>
      <c r="CR100" s="110"/>
      <c r="CS100" s="111">
        <v>651576.12999999977</v>
      </c>
      <c r="CT100" s="111">
        <v>44786.77</v>
      </c>
      <c r="CU100" s="112">
        <v>651576.13</v>
      </c>
      <c r="CV100" s="112">
        <v>44786.77</v>
      </c>
      <c r="CW100" s="112">
        <v>0</v>
      </c>
      <c r="CX100" s="111">
        <v>0</v>
      </c>
      <c r="CY100" s="111">
        <v>696362.9</v>
      </c>
      <c r="CZ100" s="113">
        <v>17033.999999999996</v>
      </c>
      <c r="DA100" s="111">
        <v>17033.999999999996</v>
      </c>
      <c r="DB100" s="111">
        <v>0</v>
      </c>
      <c r="DC100" s="111">
        <v>-4.9999999580904841E-2</v>
      </c>
      <c r="DD100" s="112"/>
      <c r="DF100" s="111">
        <v>-2.1100277081131935E-10</v>
      </c>
      <c r="DI100" s="111">
        <v>651576.12999999977</v>
      </c>
      <c r="DJ100" s="111">
        <v>44786.77</v>
      </c>
      <c r="DK100" s="112">
        <v>651576.13</v>
      </c>
      <c r="DL100" s="112">
        <v>44786.77</v>
      </c>
      <c r="DQ100" s="103">
        <v>3307051</v>
      </c>
      <c r="DT100" s="111">
        <f t="shared" si="17"/>
        <v>2984604.4000000004</v>
      </c>
      <c r="DU100" s="111">
        <f t="shared" si="18"/>
        <v>2854859.08</v>
      </c>
      <c r="DV100" s="111">
        <f t="shared" si="19"/>
        <v>129745.3200000003</v>
      </c>
      <c r="DW100" s="111">
        <f t="shared" si="30"/>
        <v>46965</v>
      </c>
      <c r="DX100" s="111">
        <f t="shared" si="21"/>
        <v>37295</v>
      </c>
      <c r="DY100" s="111">
        <f t="shared" si="23"/>
        <v>9670</v>
      </c>
      <c r="EA100" s="111">
        <f t="shared" si="24"/>
        <v>521831.85</v>
      </c>
      <c r="EB100" s="111">
        <f t="shared" si="25"/>
        <v>129745.3200000003</v>
      </c>
      <c r="EC100" s="111">
        <f t="shared" si="26"/>
        <v>651577.17000000027</v>
      </c>
      <c r="ED100" s="111">
        <v>651577.17000000027</v>
      </c>
      <c r="EE100" s="111">
        <f t="shared" si="22"/>
        <v>0</v>
      </c>
      <c r="EF100" s="111"/>
      <c r="EG100" s="111">
        <f t="shared" si="27"/>
        <v>0</v>
      </c>
      <c r="EH100" s="111">
        <f t="shared" si="16"/>
        <v>9670</v>
      </c>
      <c r="EI100" s="111">
        <f t="shared" si="28"/>
        <v>9670</v>
      </c>
      <c r="EJ100" s="113">
        <v>9670</v>
      </c>
      <c r="EK100" s="111">
        <f t="shared" si="29"/>
        <v>0</v>
      </c>
    </row>
    <row r="101" spans="1:141" s="87" customFormat="1" x14ac:dyDescent="0.35">
      <c r="A101" s="87" t="str">
        <f>_xlfn.XLOOKUP(C101,[1]Adjustment!B:B,[1]Adjustment!H:H,0,0)</f>
        <v>Agree</v>
      </c>
      <c r="B101" s="87">
        <v>7053</v>
      </c>
      <c r="C101" s="88">
        <v>3307053</v>
      </c>
      <c r="D101" s="98" t="s">
        <v>318</v>
      </c>
      <c r="E101" s="89" t="s">
        <v>319</v>
      </c>
      <c r="F101" s="101"/>
      <c r="G101" s="99"/>
      <c r="H101" s="88"/>
      <c r="I101" s="88"/>
      <c r="J101" s="88"/>
      <c r="K101" s="88"/>
      <c r="L101" s="88"/>
      <c r="M101" s="88"/>
      <c r="N101" s="88"/>
      <c r="O101" s="88"/>
      <c r="P101" s="88"/>
      <c r="Q101" s="88"/>
      <c r="R101" s="88"/>
      <c r="S101" s="92"/>
      <c r="T101" s="92"/>
      <c r="U101" s="92"/>
      <c r="V101" s="92"/>
      <c r="W101" s="92"/>
      <c r="X101" s="92"/>
      <c r="Y101" s="93">
        <v>308756.12</v>
      </c>
      <c r="Z101" s="93"/>
      <c r="AA101" s="93">
        <v>21582.69</v>
      </c>
      <c r="AB101" s="93">
        <v>47652.63</v>
      </c>
      <c r="AC101" s="93">
        <v>0</v>
      </c>
      <c r="AD101" s="93">
        <v>4113841.29</v>
      </c>
      <c r="AE101" s="93">
        <v>0</v>
      </c>
      <c r="AF101" s="93">
        <v>82801.5</v>
      </c>
      <c r="AG101" s="93">
        <v>856.93</v>
      </c>
      <c r="AH101" s="93">
        <v>0</v>
      </c>
      <c r="AI101" s="93">
        <v>0</v>
      </c>
      <c r="AJ101" s="93">
        <v>461974.11000000103</v>
      </c>
      <c r="AK101" s="93">
        <v>0</v>
      </c>
      <c r="AL101" s="93">
        <v>0</v>
      </c>
      <c r="AM101" s="93">
        <v>0</v>
      </c>
      <c r="AN101" s="93">
        <v>0</v>
      </c>
      <c r="AO101" s="93">
        <v>1000</v>
      </c>
      <c r="AP101" s="93">
        <v>0</v>
      </c>
      <c r="AQ101" s="93">
        <v>0</v>
      </c>
      <c r="AR101" s="93">
        <v>0</v>
      </c>
      <c r="AS101" s="93">
        <v>0</v>
      </c>
      <c r="AT101" s="93">
        <v>0</v>
      </c>
      <c r="AU101" s="93">
        <v>93901.38</v>
      </c>
      <c r="AV101" s="93">
        <v>0</v>
      </c>
      <c r="AW101" s="93">
        <v>1497915.9300000009</v>
      </c>
      <c r="AX101" s="93">
        <v>0</v>
      </c>
      <c r="AY101" s="93">
        <v>1490431.83</v>
      </c>
      <c r="AZ101" s="93">
        <v>89262.01</v>
      </c>
      <c r="BA101" s="93">
        <v>291059.43</v>
      </c>
      <c r="BB101" s="93">
        <v>0</v>
      </c>
      <c r="BC101" s="93">
        <v>8279.08</v>
      </c>
      <c r="BD101" s="93">
        <v>8048.14</v>
      </c>
      <c r="BE101" s="93">
        <v>15368.36</v>
      </c>
      <c r="BF101" s="93">
        <v>0</v>
      </c>
      <c r="BG101" s="93">
        <v>0</v>
      </c>
      <c r="BH101" s="93">
        <v>27390.83</v>
      </c>
      <c r="BI101" s="93">
        <v>5903.75</v>
      </c>
      <c r="BJ101" s="93">
        <v>36112.71</v>
      </c>
      <c r="BK101" s="93">
        <v>3360.85</v>
      </c>
      <c r="BL101" s="93">
        <v>19651.02</v>
      </c>
      <c r="BM101" s="93">
        <v>0</v>
      </c>
      <c r="BN101" s="93">
        <v>7841.49</v>
      </c>
      <c r="BO101" s="93">
        <v>109376.89</v>
      </c>
      <c r="BP101" s="93">
        <v>12984.61</v>
      </c>
      <c r="BQ101" s="93">
        <v>3326.59</v>
      </c>
      <c r="BR101" s="93">
        <v>51863.31</v>
      </c>
      <c r="BS101" s="93">
        <v>4895</v>
      </c>
      <c r="BT101" s="93">
        <v>384</v>
      </c>
      <c r="BU101" s="93">
        <v>57804.79</v>
      </c>
      <c r="BV101" s="93">
        <v>284095.31</v>
      </c>
      <c r="BW101" s="93">
        <v>40990.400000000001</v>
      </c>
      <c r="BX101" s="93">
        <v>408759.82</v>
      </c>
      <c r="BY101" s="93">
        <v>0</v>
      </c>
      <c r="BZ101" s="93">
        <v>0</v>
      </c>
      <c r="CA101" s="93"/>
      <c r="CB101" s="93">
        <v>0</v>
      </c>
      <c r="CC101" s="93">
        <v>0</v>
      </c>
      <c r="CD101" s="93">
        <v>11290</v>
      </c>
      <c r="CE101" s="93">
        <v>19794.3</v>
      </c>
      <c r="CF101" s="93">
        <v>0</v>
      </c>
      <c r="CG101" s="93">
        <v>0</v>
      </c>
      <c r="CH101" s="93">
        <v>0</v>
      </c>
      <c r="CI101" s="93">
        <v>0</v>
      </c>
      <c r="CJ101" s="93">
        <v>15463</v>
      </c>
      <c r="CK101" s="93"/>
      <c r="CL101" s="93">
        <v>635677.80999999959</v>
      </c>
      <c r="CM101" s="93"/>
      <c r="CN101" s="93">
        <v>37203.99</v>
      </c>
      <c r="CO101" s="93">
        <v>0</v>
      </c>
      <c r="CP101" s="93">
        <v>0</v>
      </c>
      <c r="CQ101" s="93">
        <v>0</v>
      </c>
      <c r="CR101" s="100"/>
      <c r="CS101" s="95">
        <v>635677.81000000041</v>
      </c>
      <c r="CT101" s="95">
        <v>37203.99</v>
      </c>
      <c r="CU101" s="96">
        <v>635677.81000000006</v>
      </c>
      <c r="CV101" s="96">
        <v>37203.99</v>
      </c>
      <c r="CW101" s="96">
        <v>0</v>
      </c>
      <c r="CX101" s="95">
        <v>0</v>
      </c>
      <c r="CY101" s="95">
        <v>672881.8</v>
      </c>
      <c r="CZ101" s="97">
        <v>19794.3</v>
      </c>
      <c r="DA101" s="95">
        <v>19794.3</v>
      </c>
      <c r="DB101" s="95">
        <v>1.9999998970888555E-2</v>
      </c>
      <c r="DC101" s="95">
        <v>0</v>
      </c>
      <c r="DD101" s="96"/>
      <c r="DF101" s="95">
        <v>3.4197000786662102E-10</v>
      </c>
      <c r="DI101" s="95">
        <v>635677.81000000041</v>
      </c>
      <c r="DJ101" s="95">
        <v>37203.99</v>
      </c>
      <c r="DK101" s="96">
        <v>635677.81000000006</v>
      </c>
      <c r="DL101" s="96">
        <v>37203.99</v>
      </c>
      <c r="DQ101" s="88">
        <v>3307053</v>
      </c>
      <c r="DT101" s="95">
        <f t="shared" si="17"/>
        <v>4802027.8400000008</v>
      </c>
      <c r="DU101" s="95">
        <f t="shared" si="18"/>
        <v>4475106.1500000013</v>
      </c>
      <c r="DV101" s="95">
        <f t="shared" si="19"/>
        <v>326921.68999999948</v>
      </c>
      <c r="DW101" s="95">
        <f t="shared" si="30"/>
        <v>31084.3</v>
      </c>
      <c r="DX101" s="95">
        <f t="shared" si="21"/>
        <v>15463</v>
      </c>
      <c r="DY101" s="95">
        <f t="shared" si="23"/>
        <v>15621.3</v>
      </c>
      <c r="EA101" s="95">
        <f t="shared" si="24"/>
        <v>308756.12</v>
      </c>
      <c r="EB101" s="95">
        <f t="shared" si="25"/>
        <v>326921.68999999948</v>
      </c>
      <c r="EC101" s="95">
        <f t="shared" si="26"/>
        <v>635677.80999999947</v>
      </c>
      <c r="ED101" s="95">
        <v>635677.80999999947</v>
      </c>
      <c r="EE101" s="95">
        <f t="shared" si="22"/>
        <v>0</v>
      </c>
      <c r="EF101" s="95"/>
      <c r="EG101" s="95">
        <f t="shared" si="27"/>
        <v>21582.69</v>
      </c>
      <c r="EH101" s="95">
        <f t="shared" si="16"/>
        <v>15621.3</v>
      </c>
      <c r="EI101" s="95">
        <f t="shared" si="28"/>
        <v>37203.99</v>
      </c>
      <c r="EJ101" s="97">
        <v>37203.99</v>
      </c>
      <c r="EK101" s="95">
        <f t="shared" si="29"/>
        <v>0</v>
      </c>
    </row>
    <row r="102" spans="1:141" s="87" customFormat="1" x14ac:dyDescent="0.35">
      <c r="A102" s="87" t="str">
        <f>_xlfn.XLOOKUP(C102,[1]Adjustment!B:B,[1]Adjustment!H:H,0,0)</f>
        <v>Agree</v>
      </c>
      <c r="B102" s="87">
        <v>7060</v>
      </c>
      <c r="C102" s="88">
        <v>3307060</v>
      </c>
      <c r="D102" s="98" t="s">
        <v>320</v>
      </c>
      <c r="E102" s="89" t="s">
        <v>321</v>
      </c>
      <c r="F102" s="101"/>
      <c r="G102" s="99"/>
      <c r="H102" s="88"/>
      <c r="I102" s="88"/>
      <c r="J102" s="88"/>
      <c r="K102" s="88"/>
      <c r="L102" s="88"/>
      <c r="M102" s="88"/>
      <c r="N102" s="88"/>
      <c r="O102" s="88"/>
      <c r="P102" s="88"/>
      <c r="Q102" s="88"/>
      <c r="R102" s="88"/>
      <c r="S102" s="92"/>
      <c r="T102" s="92"/>
      <c r="U102" s="92"/>
      <c r="V102" s="92"/>
      <c r="W102" s="92"/>
      <c r="X102" s="92"/>
      <c r="Y102" s="93">
        <v>37488.54</v>
      </c>
      <c r="Z102" s="93"/>
      <c r="AA102" s="93">
        <v>82127.86</v>
      </c>
      <c r="AB102" s="93">
        <v>28326.84</v>
      </c>
      <c r="AC102" s="93">
        <v>0</v>
      </c>
      <c r="AD102" s="93">
        <v>2150683.1</v>
      </c>
      <c r="AE102" s="93">
        <v>0</v>
      </c>
      <c r="AF102" s="93">
        <v>68720</v>
      </c>
      <c r="AG102" s="93">
        <v>9056.93</v>
      </c>
      <c r="AH102" s="93">
        <v>0</v>
      </c>
      <c r="AI102" s="93">
        <v>0</v>
      </c>
      <c r="AJ102" s="93">
        <v>167117.35</v>
      </c>
      <c r="AK102" s="93">
        <v>0</v>
      </c>
      <c r="AL102" s="93">
        <v>0</v>
      </c>
      <c r="AM102" s="93">
        <v>0</v>
      </c>
      <c r="AN102" s="93">
        <v>0</v>
      </c>
      <c r="AO102" s="93">
        <v>0</v>
      </c>
      <c r="AP102" s="93">
        <v>0</v>
      </c>
      <c r="AQ102" s="93">
        <v>0</v>
      </c>
      <c r="AR102" s="93">
        <v>0</v>
      </c>
      <c r="AS102" s="93">
        <v>0</v>
      </c>
      <c r="AT102" s="93">
        <v>0</v>
      </c>
      <c r="AU102" s="93">
        <v>39300.080000000002</v>
      </c>
      <c r="AV102" s="93">
        <v>21855</v>
      </c>
      <c r="AW102" s="93">
        <v>768243.12999999896</v>
      </c>
      <c r="AX102" s="93">
        <v>0</v>
      </c>
      <c r="AY102" s="93">
        <v>732644.89</v>
      </c>
      <c r="AZ102" s="93">
        <v>19744.59</v>
      </c>
      <c r="BA102" s="93">
        <v>486959.09</v>
      </c>
      <c r="BB102" s="93">
        <v>0</v>
      </c>
      <c r="BC102" s="93">
        <v>27435.58</v>
      </c>
      <c r="BD102" s="93">
        <v>1321.14</v>
      </c>
      <c r="BE102" s="93">
        <v>4999</v>
      </c>
      <c r="BF102" s="93">
        <v>0</v>
      </c>
      <c r="BG102" s="93">
        <v>0</v>
      </c>
      <c r="BH102" s="93">
        <v>17385.68</v>
      </c>
      <c r="BI102" s="93">
        <v>0</v>
      </c>
      <c r="BJ102" s="93">
        <v>32609.57</v>
      </c>
      <c r="BK102" s="93">
        <v>0</v>
      </c>
      <c r="BL102" s="93">
        <v>0</v>
      </c>
      <c r="BM102" s="93">
        <v>0</v>
      </c>
      <c r="BN102" s="93">
        <v>52393.15</v>
      </c>
      <c r="BO102" s="93">
        <v>63289.74</v>
      </c>
      <c r="BP102" s="93">
        <v>360.08</v>
      </c>
      <c r="BQ102" s="93">
        <v>327.22000000000003</v>
      </c>
      <c r="BR102" s="93">
        <v>13371.74</v>
      </c>
      <c r="BS102" s="93">
        <v>3135</v>
      </c>
      <c r="BT102" s="93">
        <v>3444.25</v>
      </c>
      <c r="BU102" s="93">
        <v>49794.82</v>
      </c>
      <c r="BV102" s="93">
        <v>242560.64000000001</v>
      </c>
      <c r="BW102" s="93">
        <v>0</v>
      </c>
      <c r="BX102" s="93">
        <v>227310.33</v>
      </c>
      <c r="BY102" s="93">
        <v>0</v>
      </c>
      <c r="BZ102" s="93">
        <v>0</v>
      </c>
      <c r="CA102" s="93"/>
      <c r="CB102" s="93">
        <v>0</v>
      </c>
      <c r="CC102" s="93">
        <v>0</v>
      </c>
      <c r="CD102" s="93">
        <v>9315.6299999999992</v>
      </c>
      <c r="CE102" s="93">
        <v>0</v>
      </c>
      <c r="CF102" s="93">
        <v>0</v>
      </c>
      <c r="CG102" s="93">
        <v>0</v>
      </c>
      <c r="CH102" s="93">
        <v>0</v>
      </c>
      <c r="CI102" s="93">
        <v>0</v>
      </c>
      <c r="CJ102" s="93">
        <v>46012.28</v>
      </c>
      <c r="CK102" s="93"/>
      <c r="CL102" s="93">
        <v>-224781.79999999981</v>
      </c>
      <c r="CM102" s="93"/>
      <c r="CN102" s="93">
        <v>45431.210000000006</v>
      </c>
      <c r="CO102" s="93">
        <v>0</v>
      </c>
      <c r="CP102" s="93">
        <v>0</v>
      </c>
      <c r="CQ102" s="93">
        <v>0</v>
      </c>
      <c r="CR102" s="100"/>
      <c r="CS102" s="95">
        <v>-319207.7600000003</v>
      </c>
      <c r="CT102" s="95">
        <v>0</v>
      </c>
      <c r="CU102" s="96">
        <v>-274934.90000000002</v>
      </c>
      <c r="CV102" s="96">
        <v>-44272.86</v>
      </c>
      <c r="CW102" s="96">
        <v>-44272.860000000277</v>
      </c>
      <c r="CX102" s="95">
        <v>-44272.86</v>
      </c>
      <c r="CY102" s="95">
        <v>-319207.76</v>
      </c>
      <c r="CZ102" s="97">
        <v>42658.89</v>
      </c>
      <c r="DA102" s="95">
        <v>42658.89</v>
      </c>
      <c r="DB102" s="95">
        <v>0</v>
      </c>
      <c r="DC102" s="95">
        <v>0</v>
      </c>
      <c r="DD102" s="96">
        <v>-44272.86</v>
      </c>
      <c r="DF102" s="95">
        <v>-2.7648638933897018E-10</v>
      </c>
      <c r="DI102" s="95">
        <v>-319207.7600000003</v>
      </c>
      <c r="DJ102" s="95">
        <v>0</v>
      </c>
      <c r="DK102" s="96">
        <v>-274934.90000000002</v>
      </c>
      <c r="DL102" s="96">
        <v>-44272.86</v>
      </c>
      <c r="DQ102" s="88">
        <v>3307060</v>
      </c>
      <c r="DT102" s="95">
        <f t="shared" si="17"/>
        <v>2485059.3000000003</v>
      </c>
      <c r="DU102" s="95">
        <f t="shared" si="18"/>
        <v>2747329.64</v>
      </c>
      <c r="DV102" s="95">
        <f t="shared" si="19"/>
        <v>-262270.33999999985</v>
      </c>
      <c r="DW102" s="95">
        <f t="shared" si="30"/>
        <v>9315.6299999999992</v>
      </c>
      <c r="DX102" s="95">
        <f t="shared" si="21"/>
        <v>46012.28</v>
      </c>
      <c r="DY102" s="95">
        <f t="shared" si="23"/>
        <v>-36696.65</v>
      </c>
      <c r="EA102" s="95">
        <f t="shared" si="24"/>
        <v>37488.54</v>
      </c>
      <c r="EB102" s="95">
        <f t="shared" si="25"/>
        <v>-262270.33999999985</v>
      </c>
      <c r="EC102" s="95">
        <f t="shared" si="26"/>
        <v>-224781.79999999984</v>
      </c>
      <c r="ED102" s="95">
        <v>-224781.79999999984</v>
      </c>
      <c r="EE102" s="95">
        <f t="shared" si="22"/>
        <v>0</v>
      </c>
      <c r="EF102" s="95"/>
      <c r="EG102" s="95">
        <f t="shared" si="27"/>
        <v>82127.86</v>
      </c>
      <c r="EH102" s="95">
        <f t="shared" si="16"/>
        <v>-36696.65</v>
      </c>
      <c r="EI102" s="95">
        <f t="shared" si="28"/>
        <v>45431.21</v>
      </c>
      <c r="EJ102" s="97">
        <v>45431.21</v>
      </c>
      <c r="EK102" s="95">
        <f t="shared" si="29"/>
        <v>0</v>
      </c>
    </row>
    <row r="103" spans="1:141" s="87" customFormat="1" x14ac:dyDescent="0.35">
      <c r="A103" s="87" t="s">
        <v>322</v>
      </c>
      <c r="B103" s="87">
        <v>2474</v>
      </c>
      <c r="C103" s="88">
        <v>3302474</v>
      </c>
      <c r="D103" s="98" t="s">
        <v>323</v>
      </c>
      <c r="E103" s="98" t="s">
        <v>324</v>
      </c>
      <c r="F103" s="101"/>
      <c r="G103" s="99"/>
      <c r="H103" s="88"/>
      <c r="I103" s="88"/>
      <c r="J103" s="88"/>
      <c r="K103" s="88"/>
      <c r="L103" s="88"/>
      <c r="M103" s="88"/>
      <c r="N103" s="88"/>
      <c r="O103" s="88"/>
      <c r="P103" s="88"/>
      <c r="Q103" s="88"/>
      <c r="R103" s="88"/>
      <c r="S103" s="92"/>
      <c r="T103" s="92"/>
      <c r="U103" s="92"/>
      <c r="V103" s="92"/>
      <c r="W103" s="92"/>
      <c r="X103" s="92"/>
      <c r="Y103" s="114">
        <v>23680.48</v>
      </c>
      <c r="Z103" s="114"/>
      <c r="AA103" s="114">
        <v>28990</v>
      </c>
      <c r="AB103" s="114">
        <v>1982958.82</v>
      </c>
      <c r="AC103" s="114">
        <v>0</v>
      </c>
      <c r="AD103" s="114">
        <v>21603.75</v>
      </c>
      <c r="AE103" s="114">
        <v>0</v>
      </c>
      <c r="AF103" s="114">
        <v>182191</v>
      </c>
      <c r="AG103" s="114">
        <v>3713.86</v>
      </c>
      <c r="AH103" s="114">
        <v>0</v>
      </c>
      <c r="AI103" s="114">
        <v>0</v>
      </c>
      <c r="AJ103" s="114">
        <v>110621.58999999973</v>
      </c>
      <c r="AK103" s="114">
        <v>0</v>
      </c>
      <c r="AL103" s="114">
        <v>0</v>
      </c>
      <c r="AM103" s="114">
        <v>0</v>
      </c>
      <c r="AN103" s="114">
        <v>25107</v>
      </c>
      <c r="AO103" s="114">
        <v>0</v>
      </c>
      <c r="AP103" s="114">
        <v>0</v>
      </c>
      <c r="AQ103" s="114">
        <v>0</v>
      </c>
      <c r="AR103" s="114">
        <v>0</v>
      </c>
      <c r="AS103" s="114">
        <v>0</v>
      </c>
      <c r="AT103" s="114">
        <v>0</v>
      </c>
      <c r="AU103" s="114">
        <v>18101.18</v>
      </c>
      <c r="AV103" s="114">
        <v>74569</v>
      </c>
      <c r="AW103" s="114">
        <v>1236019.75</v>
      </c>
      <c r="AX103" s="114">
        <v>0</v>
      </c>
      <c r="AY103" s="114">
        <v>309374.32</v>
      </c>
      <c r="AZ103" s="114">
        <v>40730.36</v>
      </c>
      <c r="BA103" s="114">
        <v>147151.60999999999</v>
      </c>
      <c r="BB103" s="114">
        <v>0</v>
      </c>
      <c r="BC103" s="114">
        <v>63401.08</v>
      </c>
      <c r="BD103" s="114">
        <v>0</v>
      </c>
      <c r="BE103" s="114">
        <v>0</v>
      </c>
      <c r="BF103" s="114">
        <v>0</v>
      </c>
      <c r="BG103" s="114">
        <v>0</v>
      </c>
      <c r="BH103" s="114">
        <v>9088.2199999999993</v>
      </c>
      <c r="BI103" s="114">
        <v>690</v>
      </c>
      <c r="BJ103" s="114">
        <v>55807.39</v>
      </c>
      <c r="BK103" s="114">
        <v>7774.34</v>
      </c>
      <c r="BL103" s="114">
        <v>68684</v>
      </c>
      <c r="BM103" s="114">
        <v>0</v>
      </c>
      <c r="BN103" s="114">
        <v>5993.22</v>
      </c>
      <c r="BO103" s="114">
        <v>68372.149999999994</v>
      </c>
      <c r="BP103" s="114">
        <v>2957.62</v>
      </c>
      <c r="BQ103" s="114">
        <v>84.14</v>
      </c>
      <c r="BR103" s="114">
        <v>21438.32</v>
      </c>
      <c r="BS103" s="114">
        <v>4895</v>
      </c>
      <c r="BT103" s="114">
        <v>1404</v>
      </c>
      <c r="BU103" s="114">
        <v>157873.51</v>
      </c>
      <c r="BV103" s="114">
        <v>112394.14</v>
      </c>
      <c r="BW103" s="114">
        <v>0</v>
      </c>
      <c r="BX103" s="114">
        <v>175169.24</v>
      </c>
      <c r="BY103" s="114">
        <v>0</v>
      </c>
      <c r="BZ103" s="114">
        <v>0</v>
      </c>
      <c r="CA103" s="114"/>
      <c r="CB103" s="114">
        <v>0</v>
      </c>
      <c r="CC103" s="114">
        <v>0</v>
      </c>
      <c r="CD103" s="114">
        <v>8713.75</v>
      </c>
      <c r="CE103" s="114">
        <v>0</v>
      </c>
      <c r="CF103" s="114">
        <v>0</v>
      </c>
      <c r="CG103" s="114">
        <v>0</v>
      </c>
      <c r="CH103" s="114">
        <v>0</v>
      </c>
      <c r="CI103" s="114">
        <v>8713.75</v>
      </c>
      <c r="CJ103" s="114">
        <v>7811</v>
      </c>
      <c r="CK103" s="114">
        <v>0</v>
      </c>
      <c r="CL103" s="114">
        <f>Y103+SUM(AB103:AV103)-SUM(AW103:CC103)</f>
        <v>-46755.729999999981</v>
      </c>
      <c r="CM103" s="114"/>
      <c r="CN103" s="114">
        <f>AA103+CD103-SUM(CH103:CK103)</f>
        <v>21179</v>
      </c>
      <c r="CO103" s="114">
        <v>0</v>
      </c>
      <c r="CP103" s="114">
        <v>0</v>
      </c>
      <c r="CQ103" s="114">
        <v>0</v>
      </c>
      <c r="CR103" s="99"/>
      <c r="CS103" s="87">
        <v>-76552.600000000079</v>
      </c>
      <c r="CT103" s="87">
        <v>0</v>
      </c>
      <c r="CU103" s="96">
        <v>-46755.73</v>
      </c>
      <c r="CV103" s="96">
        <v>-29796.87</v>
      </c>
      <c r="CW103" s="96">
        <v>-29796.870000000075</v>
      </c>
      <c r="CX103" s="87">
        <v>-29796.87</v>
      </c>
      <c r="CY103" s="87">
        <v>-76552.600000000006</v>
      </c>
      <c r="CZ103" s="97">
        <v>0</v>
      </c>
      <c r="DA103" s="87">
        <v>0</v>
      </c>
      <c r="DB103" s="87">
        <v>1.0000000278523657E-2</v>
      </c>
      <c r="DC103" s="87">
        <v>0</v>
      </c>
      <c r="DD103" s="96">
        <v>-29796.87</v>
      </c>
      <c r="DF103" s="87">
        <v>-7.6397554948925972E-11</v>
      </c>
      <c r="DI103" s="87">
        <v>-76552.600000000079</v>
      </c>
      <c r="DJ103" s="87">
        <v>0</v>
      </c>
      <c r="DK103" s="96">
        <v>-46755.73</v>
      </c>
      <c r="DL103" s="96">
        <v>-29796.87</v>
      </c>
      <c r="DQ103" s="88">
        <v>3302474</v>
      </c>
      <c r="DS103" s="87">
        <v>0</v>
      </c>
      <c r="DT103" s="87">
        <v>2418866.2000000002</v>
      </c>
      <c r="DU103" s="87">
        <v>2519099.2800000003</v>
      </c>
      <c r="DV103" s="87">
        <v>-100233.08000000007</v>
      </c>
      <c r="DW103" s="87">
        <v>38510.619999999995</v>
      </c>
      <c r="DX103" s="87">
        <v>16151.48</v>
      </c>
      <c r="DY103" s="87">
        <v>22359.139999999996</v>
      </c>
      <c r="EA103" s="95">
        <f t="shared" si="24"/>
        <v>23680.48</v>
      </c>
      <c r="EB103" s="95">
        <f t="shared" si="25"/>
        <v>-70436.209999999963</v>
      </c>
      <c r="EC103" s="95">
        <f t="shared" si="26"/>
        <v>-46755.729999999967</v>
      </c>
      <c r="ED103" s="95">
        <v>-46755.729999999967</v>
      </c>
      <c r="EE103" s="95">
        <f t="shared" si="22"/>
        <v>0</v>
      </c>
      <c r="EG103" s="95">
        <f t="shared" si="27"/>
        <v>28990</v>
      </c>
      <c r="EH103" s="95">
        <f t="shared" ref="EH103" si="31">SUM(CD103:CF103)-SUM(CI103:CK103)</f>
        <v>-7811</v>
      </c>
      <c r="EI103" s="95">
        <f t="shared" si="28"/>
        <v>21179</v>
      </c>
      <c r="EJ103" s="97">
        <v>21179</v>
      </c>
      <c r="EK103" s="95">
        <f t="shared" si="29"/>
        <v>0</v>
      </c>
    </row>
    <row r="104" spans="1:141" x14ac:dyDescent="0.35">
      <c r="B104" s="87">
        <v>1000</v>
      </c>
      <c r="C104" s="115">
        <v>3301000</v>
      </c>
      <c r="D104" s="116" t="s">
        <v>325</v>
      </c>
      <c r="E104" s="116" t="s">
        <v>326</v>
      </c>
      <c r="F104" s="117"/>
      <c r="G104" s="118"/>
      <c r="H104" s="115"/>
      <c r="I104" s="115"/>
      <c r="J104" s="115"/>
      <c r="K104" s="115"/>
      <c r="L104" s="115"/>
      <c r="M104" s="115"/>
      <c r="N104" s="115"/>
      <c r="O104" s="115"/>
      <c r="P104" s="115"/>
      <c r="Q104" s="115"/>
      <c r="R104" s="115"/>
      <c r="S104" s="119"/>
      <c r="T104" s="119"/>
      <c r="U104" s="119"/>
      <c r="V104" s="119"/>
      <c r="W104" s="119"/>
      <c r="X104" s="119"/>
      <c r="Y104" s="120"/>
      <c r="Z104" s="120">
        <v>-49320.69</v>
      </c>
      <c r="AA104" s="120">
        <v>-14995.61</v>
      </c>
      <c r="AB104" s="121">
        <v>453084.04</v>
      </c>
      <c r="AC104" s="121">
        <v>0</v>
      </c>
      <c r="AD104" s="121">
        <v>23281.25</v>
      </c>
      <c r="AE104" s="121">
        <v>0</v>
      </c>
      <c r="AF104" s="121">
        <v>0</v>
      </c>
      <c r="AG104" s="121">
        <v>0</v>
      </c>
      <c r="AH104" s="121">
        <v>0</v>
      </c>
      <c r="AI104" s="121">
        <v>0</v>
      </c>
      <c r="AJ104" s="121">
        <v>72168.319999999992</v>
      </c>
      <c r="AK104" s="121">
        <v>0</v>
      </c>
      <c r="AL104" s="121">
        <v>0</v>
      </c>
      <c r="AM104" s="121">
        <v>0</v>
      </c>
      <c r="AN104" s="121">
        <v>99523.56</v>
      </c>
      <c r="AO104" s="121">
        <v>0</v>
      </c>
      <c r="AP104" s="121">
        <v>0</v>
      </c>
      <c r="AQ104" s="121">
        <v>0</v>
      </c>
      <c r="AR104" s="121">
        <v>0</v>
      </c>
      <c r="AS104" s="121">
        <v>0</v>
      </c>
      <c r="AT104" s="121">
        <v>0</v>
      </c>
      <c r="AU104" s="121">
        <v>0</v>
      </c>
      <c r="AV104" s="121">
        <v>0</v>
      </c>
      <c r="AW104" s="121">
        <v>183980.13</v>
      </c>
      <c r="AX104" s="121">
        <v>0</v>
      </c>
      <c r="AY104" s="121">
        <v>63700</v>
      </c>
      <c r="AZ104" s="121">
        <v>0</v>
      </c>
      <c r="BA104" s="121">
        <v>85233.23</v>
      </c>
      <c r="BB104" s="121">
        <v>0</v>
      </c>
      <c r="BC104" s="121">
        <v>60045.88</v>
      </c>
      <c r="BD104" s="121">
        <v>39.26</v>
      </c>
      <c r="BE104" s="121">
        <v>3971.5</v>
      </c>
      <c r="BF104" s="121">
        <v>0</v>
      </c>
      <c r="BG104" s="121">
        <v>0</v>
      </c>
      <c r="BH104" s="121">
        <v>121351.14</v>
      </c>
      <c r="BI104" s="121">
        <v>53.5</v>
      </c>
      <c r="BJ104" s="121">
        <v>2861.9</v>
      </c>
      <c r="BK104" s="121">
        <v>1688.58</v>
      </c>
      <c r="BL104" s="121">
        <v>7539.97</v>
      </c>
      <c r="BM104" s="121">
        <v>0</v>
      </c>
      <c r="BN104" s="121">
        <v>0</v>
      </c>
      <c r="BO104" s="121">
        <v>22953.98</v>
      </c>
      <c r="BP104" s="121">
        <v>0</v>
      </c>
      <c r="BQ104" s="121">
        <v>0</v>
      </c>
      <c r="BR104" s="121">
        <v>0</v>
      </c>
      <c r="BS104" s="121">
        <v>4895</v>
      </c>
      <c r="BT104" s="121">
        <v>0</v>
      </c>
      <c r="BU104" s="121">
        <v>2098.66</v>
      </c>
      <c r="BV104" s="121">
        <v>15919.37</v>
      </c>
      <c r="BW104" s="121">
        <v>37100.129999999997</v>
      </c>
      <c r="BX104" s="121">
        <v>83356.429999999993</v>
      </c>
      <c r="BY104" s="121">
        <v>0</v>
      </c>
      <c r="BZ104" s="121">
        <v>0</v>
      </c>
      <c r="CA104" s="121">
        <v>0</v>
      </c>
      <c r="CB104" s="121">
        <v>0</v>
      </c>
      <c r="CC104" s="121">
        <v>0</v>
      </c>
      <c r="CD104" s="121">
        <v>51768</v>
      </c>
      <c r="CE104" s="121">
        <v>0</v>
      </c>
      <c r="CF104" s="121">
        <v>0</v>
      </c>
      <c r="CG104" s="121">
        <v>0</v>
      </c>
      <c r="CH104" s="121">
        <v>0</v>
      </c>
      <c r="CI104" s="121">
        <v>0</v>
      </c>
      <c r="CJ104" s="121">
        <v>0</v>
      </c>
      <c r="CK104" s="121">
        <v>0</v>
      </c>
      <c r="CL104" s="121">
        <v>-98052.180000000226</v>
      </c>
      <c r="CM104" s="121"/>
      <c r="CN104" s="121">
        <v>36772.39</v>
      </c>
      <c r="CO104" s="121">
        <v>0</v>
      </c>
      <c r="CP104" s="121">
        <v>0</v>
      </c>
      <c r="CQ104" s="121">
        <v>0</v>
      </c>
      <c r="CR104" s="118">
        <v>0</v>
      </c>
      <c r="CS104" s="33">
        <v>-98052.180000000226</v>
      </c>
      <c r="CT104" s="64">
        <v>36772.39</v>
      </c>
      <c r="CU104" s="65">
        <v>-98052.18</v>
      </c>
      <c r="CV104" s="65">
        <v>36772.39</v>
      </c>
      <c r="CW104" s="65">
        <v>-2.3283064365386963E-10</v>
      </c>
      <c r="CX104" s="33">
        <v>0</v>
      </c>
      <c r="CY104" s="33">
        <v>-61279.789999999994</v>
      </c>
      <c r="CZ104" s="66">
        <v>0</v>
      </c>
      <c r="DA104" s="33">
        <v>51768</v>
      </c>
      <c r="DB104" s="33">
        <v>0.02</v>
      </c>
      <c r="DC104" s="33">
        <v>0</v>
      </c>
      <c r="DF104" s="33">
        <v>-2.3283064365386963E-10</v>
      </c>
      <c r="DI104" s="33">
        <v>-98052.180000000226</v>
      </c>
      <c r="DJ104" s="33">
        <v>36772.39</v>
      </c>
      <c r="DK104" s="65">
        <v>-98052.18</v>
      </c>
      <c r="DL104" s="65">
        <v>36772.39</v>
      </c>
      <c r="DQ104" s="115">
        <v>3301000</v>
      </c>
      <c r="DS104" s="33">
        <v>0</v>
      </c>
      <c r="DT104" s="33">
        <v>648057.16999999993</v>
      </c>
      <c r="DU104" s="33">
        <v>696788.66000000015</v>
      </c>
      <c r="DV104" s="33">
        <v>-48731.490000000224</v>
      </c>
      <c r="DW104" s="33">
        <v>51768</v>
      </c>
      <c r="DX104" s="33">
        <v>0</v>
      </c>
      <c r="DY104" s="33">
        <v>51768</v>
      </c>
    </row>
    <row r="105" spans="1:141" x14ac:dyDescent="0.35">
      <c r="B105" s="87">
        <v>1002</v>
      </c>
      <c r="C105" s="115">
        <v>3301002</v>
      </c>
      <c r="D105" s="116" t="s">
        <v>327</v>
      </c>
      <c r="E105" s="116" t="s">
        <v>328</v>
      </c>
      <c r="F105" s="117"/>
      <c r="G105" s="118"/>
      <c r="H105" s="115"/>
      <c r="I105" s="115"/>
      <c r="J105" s="115"/>
      <c r="K105" s="115"/>
      <c r="L105" s="115"/>
      <c r="M105" s="115"/>
      <c r="N105" s="115"/>
      <c r="O105" s="115"/>
      <c r="P105" s="115"/>
      <c r="Q105" s="115"/>
      <c r="R105" s="115"/>
      <c r="S105" s="119"/>
      <c r="T105" s="119"/>
      <c r="U105" s="119"/>
      <c r="V105" s="119"/>
      <c r="W105" s="119"/>
      <c r="X105" s="119"/>
      <c r="Y105" s="120">
        <v>138763.94</v>
      </c>
      <c r="Z105" s="120"/>
      <c r="AA105" s="120">
        <v>-23678.85</v>
      </c>
      <c r="AB105" s="121">
        <v>628974.84</v>
      </c>
      <c r="AC105" s="121">
        <v>0</v>
      </c>
      <c r="AD105" s="121">
        <v>0</v>
      </c>
      <c r="AE105" s="121">
        <v>0</v>
      </c>
      <c r="AF105" s="121">
        <v>0</v>
      </c>
      <c r="AG105" s="121">
        <v>0</v>
      </c>
      <c r="AH105" s="121">
        <v>0</v>
      </c>
      <c r="AI105" s="121">
        <v>0</v>
      </c>
      <c r="AJ105" s="121">
        <v>0</v>
      </c>
      <c r="AK105" s="121">
        <v>0</v>
      </c>
      <c r="AL105" s="121">
        <v>0</v>
      </c>
      <c r="AM105" s="121">
        <v>0</v>
      </c>
      <c r="AN105" s="121">
        <v>369.7</v>
      </c>
      <c r="AO105" s="121">
        <v>0</v>
      </c>
      <c r="AP105" s="121">
        <v>0</v>
      </c>
      <c r="AQ105" s="121">
        <v>0</v>
      </c>
      <c r="AR105" s="121">
        <v>0</v>
      </c>
      <c r="AS105" s="121">
        <v>0</v>
      </c>
      <c r="AT105" s="121">
        <v>0</v>
      </c>
      <c r="AU105" s="121">
        <v>0</v>
      </c>
      <c r="AV105" s="121">
        <v>0</v>
      </c>
      <c r="AW105" s="121">
        <v>265592.30000000005</v>
      </c>
      <c r="AX105" s="121">
        <v>0</v>
      </c>
      <c r="AY105" s="121">
        <v>27337.75</v>
      </c>
      <c r="AZ105" s="121">
        <v>37982.21</v>
      </c>
      <c r="BA105" s="121">
        <v>85219.43</v>
      </c>
      <c r="BB105" s="121">
        <v>0</v>
      </c>
      <c r="BC105" s="121">
        <v>45966.879999999997</v>
      </c>
      <c r="BD105" s="121">
        <v>545</v>
      </c>
      <c r="BE105" s="121">
        <v>385</v>
      </c>
      <c r="BF105" s="121">
        <v>0</v>
      </c>
      <c r="BG105" s="121">
        <v>0</v>
      </c>
      <c r="BH105" s="121">
        <v>3631.99</v>
      </c>
      <c r="BI105" s="121">
        <v>7416.62</v>
      </c>
      <c r="BJ105" s="121">
        <v>957.78</v>
      </c>
      <c r="BK105" s="121">
        <v>3223.11</v>
      </c>
      <c r="BL105" s="121">
        <v>24067.16</v>
      </c>
      <c r="BM105" s="121">
        <v>0</v>
      </c>
      <c r="BN105" s="121">
        <v>5359.79</v>
      </c>
      <c r="BO105" s="121">
        <v>10502.25</v>
      </c>
      <c r="BP105" s="121">
        <v>320</v>
      </c>
      <c r="BQ105" s="121">
        <v>24.04</v>
      </c>
      <c r="BR105" s="121">
        <v>11827.88</v>
      </c>
      <c r="BS105" s="121">
        <v>3135</v>
      </c>
      <c r="BT105" s="121">
        <v>0</v>
      </c>
      <c r="BU105" s="121">
        <v>4844.08</v>
      </c>
      <c r="BV105" s="121">
        <v>2723.48</v>
      </c>
      <c r="BW105" s="121">
        <v>0</v>
      </c>
      <c r="BX105" s="121">
        <v>38723.99</v>
      </c>
      <c r="BY105" s="121">
        <v>0</v>
      </c>
      <c r="BZ105" s="121">
        <v>0</v>
      </c>
      <c r="CA105" s="121">
        <v>23678.85</v>
      </c>
      <c r="CB105" s="121">
        <v>0</v>
      </c>
      <c r="CC105" s="121">
        <v>0</v>
      </c>
      <c r="CD105" s="121">
        <v>4938.25</v>
      </c>
      <c r="CE105" s="121">
        <v>46755.69</v>
      </c>
      <c r="CF105" s="121">
        <v>23678.85</v>
      </c>
      <c r="CG105" s="121">
        <v>0</v>
      </c>
      <c r="CH105" s="121">
        <v>0</v>
      </c>
      <c r="CI105" s="121">
        <v>4938.25</v>
      </c>
      <c r="CJ105" s="121">
        <v>0</v>
      </c>
      <c r="CK105" s="121">
        <v>46755.69</v>
      </c>
      <c r="CL105" s="121">
        <v>164643.89000000007</v>
      </c>
      <c r="CM105" s="121"/>
      <c r="CN105" s="121">
        <v>0</v>
      </c>
      <c r="CO105" s="121">
        <v>0</v>
      </c>
      <c r="CP105" s="121">
        <v>0</v>
      </c>
      <c r="CQ105" s="121">
        <v>0</v>
      </c>
      <c r="CR105" s="118"/>
      <c r="CS105" s="33">
        <v>164643.89000000007</v>
      </c>
      <c r="CT105" s="33">
        <v>0</v>
      </c>
      <c r="CU105" s="65">
        <v>188322.74</v>
      </c>
      <c r="CV105" s="65">
        <v>-23678.85</v>
      </c>
      <c r="CW105" s="65">
        <v>-23678.849999999919</v>
      </c>
      <c r="CX105" s="33">
        <v>23678.85</v>
      </c>
      <c r="CY105" s="33">
        <v>164643.88999999998</v>
      </c>
      <c r="CZ105" s="66">
        <v>0</v>
      </c>
      <c r="DA105" s="33">
        <v>46755.69</v>
      </c>
      <c r="DB105" s="33">
        <v>0</v>
      </c>
      <c r="DC105" s="33">
        <v>-674490.96</v>
      </c>
      <c r="DD105" s="65">
        <v>-23678.85</v>
      </c>
      <c r="DF105" s="33">
        <v>8.0035533756017685E-11</v>
      </c>
      <c r="DI105" s="33">
        <v>164643.89000000007</v>
      </c>
      <c r="DJ105" s="33">
        <v>0</v>
      </c>
      <c r="DK105" s="65">
        <v>188322.74</v>
      </c>
      <c r="DL105" s="65">
        <v>-23678.85</v>
      </c>
      <c r="DQ105" s="115">
        <v>3301002</v>
      </c>
      <c r="DS105" s="33">
        <v>0</v>
      </c>
      <c r="DT105" s="33">
        <v>629344.53999999992</v>
      </c>
      <c r="DU105" s="33">
        <v>603464.58999999985</v>
      </c>
      <c r="DV105" s="33">
        <v>25879.95000000007</v>
      </c>
      <c r="DW105" s="33">
        <v>75372.790000000008</v>
      </c>
      <c r="DX105" s="33">
        <v>51693.94</v>
      </c>
      <c r="DY105" s="33">
        <v>23678.850000000006</v>
      </c>
      <c r="EB105" s="64">
        <f>SUM(EB9:EB104)</f>
        <v>5618606.3399999943</v>
      </c>
      <c r="EC105" s="64"/>
      <c r="ED105" s="64">
        <f>SUM(ED9:ED104)</f>
        <v>36521835.320000008</v>
      </c>
      <c r="EG105" s="64">
        <f>SUM(EG9:EG104)</f>
        <v>2235784.6999999997</v>
      </c>
    </row>
    <row r="106" spans="1:141" x14ac:dyDescent="0.35">
      <c r="B106" s="87">
        <v>1006</v>
      </c>
      <c r="C106" s="115">
        <v>3301006</v>
      </c>
      <c r="D106" s="116" t="s">
        <v>329</v>
      </c>
      <c r="E106" s="116" t="s">
        <v>330</v>
      </c>
      <c r="F106" s="117"/>
      <c r="G106" s="118"/>
      <c r="H106" s="115"/>
      <c r="I106" s="115"/>
      <c r="J106" s="115"/>
      <c r="K106" s="115"/>
      <c r="L106" s="115"/>
      <c r="M106" s="115"/>
      <c r="N106" s="115"/>
      <c r="O106" s="115"/>
      <c r="P106" s="115"/>
      <c r="Q106" s="115"/>
      <c r="R106" s="115"/>
      <c r="S106" s="119"/>
      <c r="T106" s="119"/>
      <c r="U106" s="119"/>
      <c r="V106" s="119"/>
      <c r="W106" s="119"/>
      <c r="X106" s="119"/>
      <c r="Y106" s="120">
        <v>66352.73</v>
      </c>
      <c r="Z106" s="120"/>
      <c r="AA106" s="120">
        <v>-14527.8</v>
      </c>
      <c r="AB106" s="121">
        <v>469750.97</v>
      </c>
      <c r="AC106" s="121">
        <v>0</v>
      </c>
      <c r="AD106" s="121">
        <v>177372.75</v>
      </c>
      <c r="AE106" s="121">
        <v>0</v>
      </c>
      <c r="AF106" s="121">
        <v>0</v>
      </c>
      <c r="AG106" s="121">
        <v>0</v>
      </c>
      <c r="AH106" s="121">
        <v>0</v>
      </c>
      <c r="AI106" s="121">
        <v>0</v>
      </c>
      <c r="AJ106" s="121">
        <v>222127.54</v>
      </c>
      <c r="AK106" s="121">
        <v>0</v>
      </c>
      <c r="AL106" s="121">
        <v>0</v>
      </c>
      <c r="AM106" s="121">
        <v>0</v>
      </c>
      <c r="AN106" s="121">
        <v>115</v>
      </c>
      <c r="AO106" s="121">
        <v>0</v>
      </c>
      <c r="AP106" s="121">
        <v>0</v>
      </c>
      <c r="AQ106" s="121">
        <v>0</v>
      </c>
      <c r="AR106" s="121">
        <v>0</v>
      </c>
      <c r="AS106" s="121">
        <v>0</v>
      </c>
      <c r="AT106" s="121">
        <v>0</v>
      </c>
      <c r="AU106" s="121">
        <v>0</v>
      </c>
      <c r="AV106" s="121">
        <v>0</v>
      </c>
      <c r="AW106" s="121">
        <v>194149.14</v>
      </c>
      <c r="AX106" s="121">
        <v>0</v>
      </c>
      <c r="AY106" s="121">
        <v>225511.3</v>
      </c>
      <c r="AZ106" s="121">
        <v>41462.18</v>
      </c>
      <c r="BA106" s="121">
        <v>27246.84</v>
      </c>
      <c r="BB106" s="121">
        <v>0</v>
      </c>
      <c r="BC106" s="121">
        <v>43831.01</v>
      </c>
      <c r="BD106" s="121">
        <v>79</v>
      </c>
      <c r="BE106" s="121">
        <v>3665.99</v>
      </c>
      <c r="BF106" s="121">
        <v>0</v>
      </c>
      <c r="BG106" s="121">
        <v>0</v>
      </c>
      <c r="BH106" s="121">
        <v>5434</v>
      </c>
      <c r="BI106" s="121">
        <v>0</v>
      </c>
      <c r="BJ106" s="121">
        <v>95.2</v>
      </c>
      <c r="BK106" s="121">
        <v>935.57</v>
      </c>
      <c r="BL106" s="121">
        <v>14135.28</v>
      </c>
      <c r="BM106" s="121">
        <v>0</v>
      </c>
      <c r="BN106" s="121">
        <v>4472.05</v>
      </c>
      <c r="BO106" s="121">
        <v>20787.05</v>
      </c>
      <c r="BP106" s="121">
        <v>265.69</v>
      </c>
      <c r="BQ106" s="121">
        <v>8160.1</v>
      </c>
      <c r="BR106" s="121">
        <v>12465</v>
      </c>
      <c r="BS106" s="121">
        <v>3135</v>
      </c>
      <c r="BT106" s="121">
        <v>0</v>
      </c>
      <c r="BU106" s="121">
        <v>620.66</v>
      </c>
      <c r="BV106" s="121">
        <v>13888.45</v>
      </c>
      <c r="BW106" s="121">
        <v>0</v>
      </c>
      <c r="BX106" s="121">
        <v>137803.62</v>
      </c>
      <c r="BY106" s="121">
        <v>0</v>
      </c>
      <c r="BZ106" s="121">
        <v>0</v>
      </c>
      <c r="CA106" s="121">
        <v>20633.62</v>
      </c>
      <c r="CB106" s="121">
        <v>0</v>
      </c>
      <c r="CC106" s="121">
        <v>0</v>
      </c>
      <c r="CD106" s="121">
        <v>4702</v>
      </c>
      <c r="CE106" s="121">
        <v>40367.519999999997</v>
      </c>
      <c r="CF106" s="121">
        <v>20633.62</v>
      </c>
      <c r="CG106" s="121">
        <v>0</v>
      </c>
      <c r="CH106" s="121">
        <v>0</v>
      </c>
      <c r="CI106" s="121">
        <v>4702</v>
      </c>
      <c r="CJ106" s="121">
        <v>6105.82</v>
      </c>
      <c r="CK106" s="121">
        <v>40367.519999999997</v>
      </c>
      <c r="CL106" s="121">
        <v>156942.24000000011</v>
      </c>
      <c r="CM106" s="121"/>
      <c r="CN106" s="121">
        <v>0</v>
      </c>
      <c r="CO106" s="121">
        <v>0</v>
      </c>
      <c r="CP106" s="121">
        <v>0</v>
      </c>
      <c r="CQ106" s="121">
        <v>0</v>
      </c>
      <c r="CR106" s="118"/>
      <c r="CS106" s="33">
        <v>156942.24000000011</v>
      </c>
      <c r="CT106" s="33">
        <v>0</v>
      </c>
      <c r="CU106" s="65">
        <v>177575.86</v>
      </c>
      <c r="CV106" s="65">
        <v>-20633.62</v>
      </c>
      <c r="CW106" s="65">
        <v>-20633.619999999879</v>
      </c>
      <c r="CX106" s="33">
        <v>20633.62</v>
      </c>
      <c r="CY106" s="33">
        <v>156942.24</v>
      </c>
      <c r="CZ106" s="66">
        <v>0</v>
      </c>
      <c r="DA106" s="33">
        <v>40367.519999999997</v>
      </c>
      <c r="DB106" s="33">
        <v>0</v>
      </c>
      <c r="DC106" s="33">
        <v>0</v>
      </c>
      <c r="DD106" s="65">
        <v>-20633.62</v>
      </c>
      <c r="DF106" s="33">
        <v>1.2005330063402653E-10</v>
      </c>
      <c r="DI106" s="33">
        <v>156942.24000000011</v>
      </c>
      <c r="DJ106" s="33">
        <v>0</v>
      </c>
      <c r="DK106" s="65">
        <v>177575.86</v>
      </c>
      <c r="DL106" s="65">
        <v>-20633.62</v>
      </c>
      <c r="DQ106" s="115">
        <v>3301006</v>
      </c>
      <c r="DS106" s="33">
        <v>0</v>
      </c>
      <c r="DT106" s="33">
        <v>869366.26</v>
      </c>
      <c r="DU106" s="33">
        <v>778776.74999999988</v>
      </c>
      <c r="DV106" s="33">
        <v>90589.510000000126</v>
      </c>
      <c r="DW106" s="33">
        <v>65703.14</v>
      </c>
      <c r="DX106" s="33">
        <v>51175.34</v>
      </c>
      <c r="DY106" s="33">
        <v>14527.800000000003</v>
      </c>
    </row>
    <row r="107" spans="1:141" x14ac:dyDescent="0.35">
      <c r="B107" s="87">
        <v>1009</v>
      </c>
      <c r="C107" s="115">
        <v>3301009</v>
      </c>
      <c r="D107" s="116" t="s">
        <v>331</v>
      </c>
      <c r="E107" s="116" t="s">
        <v>332</v>
      </c>
      <c r="F107" s="117"/>
      <c r="G107" s="118"/>
      <c r="H107" s="115"/>
      <c r="I107" s="115"/>
      <c r="J107" s="115"/>
      <c r="K107" s="115"/>
      <c r="L107" s="115"/>
      <c r="M107" s="115"/>
      <c r="N107" s="115"/>
      <c r="O107" s="115"/>
      <c r="P107" s="115"/>
      <c r="Q107" s="115"/>
      <c r="R107" s="115"/>
      <c r="S107" s="119"/>
      <c r="T107" s="119"/>
      <c r="U107" s="119"/>
      <c r="V107" s="119"/>
      <c r="W107" s="119"/>
      <c r="X107" s="119"/>
      <c r="Y107" s="120"/>
      <c r="Z107" s="120">
        <v>-1222889.19</v>
      </c>
      <c r="AA107" s="120">
        <v>-30314.01</v>
      </c>
      <c r="AB107" s="121">
        <v>583804.1</v>
      </c>
      <c r="AC107" s="121">
        <v>0</v>
      </c>
      <c r="AD107" s="121">
        <v>12867.5</v>
      </c>
      <c r="AE107" s="121">
        <v>0</v>
      </c>
      <c r="AF107" s="121">
        <v>0</v>
      </c>
      <c r="AG107" s="121">
        <v>0</v>
      </c>
      <c r="AH107" s="121">
        <v>0</v>
      </c>
      <c r="AI107" s="121">
        <v>0</v>
      </c>
      <c r="AJ107" s="121">
        <v>167354.15</v>
      </c>
      <c r="AK107" s="121">
        <v>0</v>
      </c>
      <c r="AL107" s="121">
        <v>0</v>
      </c>
      <c r="AM107" s="121">
        <v>0</v>
      </c>
      <c r="AN107" s="121">
        <v>133155.32999999999</v>
      </c>
      <c r="AO107" s="121">
        <v>0</v>
      </c>
      <c r="AP107" s="121">
        <v>0</v>
      </c>
      <c r="AQ107" s="121">
        <v>0</v>
      </c>
      <c r="AR107" s="121">
        <v>0</v>
      </c>
      <c r="AS107" s="121">
        <v>0</v>
      </c>
      <c r="AT107" s="121">
        <v>0</v>
      </c>
      <c r="AU107" s="121">
        <v>0</v>
      </c>
      <c r="AV107" s="121">
        <v>0</v>
      </c>
      <c r="AW107" s="121">
        <v>197244.83</v>
      </c>
      <c r="AX107" s="121">
        <v>0</v>
      </c>
      <c r="AY107" s="121">
        <v>177812.97</v>
      </c>
      <c r="AZ107" s="121">
        <v>0</v>
      </c>
      <c r="BA107" s="121">
        <v>154947.17000000001</v>
      </c>
      <c r="BB107" s="121">
        <v>15488.5</v>
      </c>
      <c r="BC107" s="121">
        <v>3146.91</v>
      </c>
      <c r="BD107" s="121">
        <v>0</v>
      </c>
      <c r="BE107" s="121">
        <v>68859.7</v>
      </c>
      <c r="BF107" s="121">
        <v>0</v>
      </c>
      <c r="BG107" s="121">
        <v>0</v>
      </c>
      <c r="BH107" s="121">
        <v>4129.25</v>
      </c>
      <c r="BI107" s="121">
        <v>14313.39</v>
      </c>
      <c r="BJ107" s="121">
        <v>32365.61</v>
      </c>
      <c r="BK107" s="121">
        <v>0</v>
      </c>
      <c r="BL107" s="121">
        <v>0</v>
      </c>
      <c r="BM107" s="121">
        <v>0</v>
      </c>
      <c r="BN107" s="121">
        <v>108776.45</v>
      </c>
      <c r="BO107" s="121">
        <v>2754.900000000056</v>
      </c>
      <c r="BP107" s="121">
        <v>0</v>
      </c>
      <c r="BQ107" s="121">
        <v>0</v>
      </c>
      <c r="BR107" s="121">
        <v>21208.91</v>
      </c>
      <c r="BS107" s="121">
        <v>4895</v>
      </c>
      <c r="BT107" s="121">
        <v>0</v>
      </c>
      <c r="BU107" s="121">
        <v>45073.99</v>
      </c>
      <c r="BV107" s="121">
        <v>90887.94</v>
      </c>
      <c r="BW107" s="121">
        <v>0</v>
      </c>
      <c r="BX107" s="121">
        <v>47099.82</v>
      </c>
      <c r="BY107" s="121">
        <v>0</v>
      </c>
      <c r="BZ107" s="121">
        <v>0</v>
      </c>
      <c r="CA107" s="121">
        <v>30314.01</v>
      </c>
      <c r="CB107" s="121">
        <v>0</v>
      </c>
      <c r="CC107" s="121">
        <v>0</v>
      </c>
      <c r="CD107" s="121">
        <v>4816.75</v>
      </c>
      <c r="CE107" s="121">
        <v>99873.2</v>
      </c>
      <c r="CF107" s="121">
        <v>30314.01</v>
      </c>
      <c r="CG107" s="121">
        <v>0</v>
      </c>
      <c r="CH107" s="121">
        <v>0</v>
      </c>
      <c r="CI107" s="121">
        <v>4816.75</v>
      </c>
      <c r="CJ107" s="121">
        <v>0</v>
      </c>
      <c r="CK107" s="121">
        <v>99873.2</v>
      </c>
      <c r="CL107" s="121">
        <v>-1345027.46</v>
      </c>
      <c r="CM107" s="121"/>
      <c r="CN107" s="121">
        <v>0</v>
      </c>
      <c r="CO107" s="121">
        <v>0</v>
      </c>
      <c r="CP107" s="121">
        <v>0</v>
      </c>
      <c r="CQ107" s="121">
        <v>0</v>
      </c>
      <c r="CR107" s="118"/>
      <c r="CS107" s="33">
        <v>-1345027.46</v>
      </c>
      <c r="CT107" s="33">
        <v>0</v>
      </c>
      <c r="CU107" s="65">
        <v>-1314713.45</v>
      </c>
      <c r="CV107" s="65">
        <v>-30314.01</v>
      </c>
      <c r="CW107" s="65">
        <v>-30314.010000000009</v>
      </c>
      <c r="CX107" s="33">
        <v>30314.01</v>
      </c>
      <c r="CY107" s="33">
        <v>-1345027.46</v>
      </c>
      <c r="CZ107" s="66">
        <v>0</v>
      </c>
      <c r="DA107" s="33">
        <v>99873.2</v>
      </c>
      <c r="DB107" s="33">
        <v>0</v>
      </c>
      <c r="DC107" s="33">
        <v>-0.18999999994412065</v>
      </c>
      <c r="DD107" s="65">
        <v>-30314.01</v>
      </c>
      <c r="DF107" s="33">
        <v>0</v>
      </c>
      <c r="DI107" s="33">
        <v>-1345027.46</v>
      </c>
      <c r="DJ107" s="33">
        <v>0</v>
      </c>
      <c r="DK107" s="65">
        <v>-1314713.45</v>
      </c>
      <c r="DL107" s="65">
        <v>-30314.01</v>
      </c>
      <c r="DQ107" s="115">
        <v>3301009</v>
      </c>
      <c r="DS107" s="33">
        <v>0</v>
      </c>
      <c r="DT107" s="33">
        <v>897181.08</v>
      </c>
      <c r="DU107" s="33">
        <v>1019319.35</v>
      </c>
      <c r="DV107" s="33">
        <v>-122138.27000000002</v>
      </c>
      <c r="DW107" s="33">
        <v>135003.96</v>
      </c>
      <c r="DX107" s="33">
        <v>104689.95</v>
      </c>
      <c r="DY107" s="33">
        <v>30314.009999999995</v>
      </c>
    </row>
    <row r="108" spans="1:141" x14ac:dyDescent="0.35">
      <c r="B108" s="87">
        <v>1010</v>
      </c>
      <c r="C108" s="115">
        <v>3301010</v>
      </c>
      <c r="D108" s="116" t="s">
        <v>333</v>
      </c>
      <c r="E108" s="116" t="s">
        <v>334</v>
      </c>
      <c r="F108" s="117"/>
      <c r="G108" s="118"/>
      <c r="H108" s="115"/>
      <c r="I108" s="115"/>
      <c r="J108" s="115"/>
      <c r="K108" s="115"/>
      <c r="L108" s="115"/>
      <c r="M108" s="115"/>
      <c r="N108" s="115"/>
      <c r="O108" s="115"/>
      <c r="P108" s="115"/>
      <c r="Q108" s="115"/>
      <c r="R108" s="115"/>
      <c r="S108" s="119"/>
      <c r="T108" s="119"/>
      <c r="U108" s="119"/>
      <c r="V108" s="119"/>
      <c r="W108" s="119"/>
      <c r="X108" s="119"/>
      <c r="Y108" s="120">
        <v>595402.51</v>
      </c>
      <c r="Z108" s="120"/>
      <c r="AA108" s="120">
        <v>-25059.119999999999</v>
      </c>
      <c r="AB108" s="121">
        <v>764771.7</v>
      </c>
      <c r="AC108" s="121">
        <v>0</v>
      </c>
      <c r="AD108" s="121">
        <v>12676.17</v>
      </c>
      <c r="AE108" s="121">
        <v>0</v>
      </c>
      <c r="AF108" s="121">
        <v>0</v>
      </c>
      <c r="AG108" s="121">
        <v>400</v>
      </c>
      <c r="AH108" s="121">
        <v>0</v>
      </c>
      <c r="AI108" s="121">
        <v>0</v>
      </c>
      <c r="AJ108" s="121">
        <v>126757.01000000013</v>
      </c>
      <c r="AK108" s="121">
        <v>0</v>
      </c>
      <c r="AL108" s="121">
        <v>0</v>
      </c>
      <c r="AM108" s="121">
        <v>0</v>
      </c>
      <c r="AN108" s="121">
        <v>0</v>
      </c>
      <c r="AO108" s="121">
        <v>0</v>
      </c>
      <c r="AP108" s="121">
        <v>0</v>
      </c>
      <c r="AQ108" s="121">
        <v>0</v>
      </c>
      <c r="AR108" s="121">
        <v>0</v>
      </c>
      <c r="AS108" s="121">
        <v>0</v>
      </c>
      <c r="AT108" s="121">
        <v>0</v>
      </c>
      <c r="AU108" s="121">
        <v>0</v>
      </c>
      <c r="AV108" s="121">
        <v>0</v>
      </c>
      <c r="AW108" s="121">
        <v>192320.43</v>
      </c>
      <c r="AX108" s="121">
        <v>0</v>
      </c>
      <c r="AY108" s="121">
        <v>170779.36</v>
      </c>
      <c r="AZ108" s="121">
        <v>0</v>
      </c>
      <c r="BA108" s="121">
        <v>66196.36</v>
      </c>
      <c r="BB108" s="121">
        <v>0</v>
      </c>
      <c r="BC108" s="121">
        <v>1855.43</v>
      </c>
      <c r="BD108" s="121">
        <v>11466.12</v>
      </c>
      <c r="BE108" s="121">
        <v>20647</v>
      </c>
      <c r="BF108" s="121">
        <v>0</v>
      </c>
      <c r="BG108" s="121">
        <v>0</v>
      </c>
      <c r="BH108" s="121">
        <v>16165.71</v>
      </c>
      <c r="BI108" s="121">
        <v>1712</v>
      </c>
      <c r="BJ108" s="121">
        <v>329.2</v>
      </c>
      <c r="BK108" s="121">
        <v>3388.49</v>
      </c>
      <c r="BL108" s="121">
        <v>3633.68</v>
      </c>
      <c r="BM108" s="121">
        <v>489.73</v>
      </c>
      <c r="BN108" s="121">
        <v>24214.11</v>
      </c>
      <c r="BO108" s="121">
        <v>84505.19</v>
      </c>
      <c r="BP108" s="121">
        <v>0</v>
      </c>
      <c r="BQ108" s="121">
        <v>4196.4799999999996</v>
      </c>
      <c r="BR108" s="121">
        <v>44499.19</v>
      </c>
      <c r="BS108" s="121">
        <v>4895</v>
      </c>
      <c r="BT108" s="121">
        <v>0</v>
      </c>
      <c r="BU108" s="121">
        <v>5680.89</v>
      </c>
      <c r="BV108" s="121">
        <v>53574.93</v>
      </c>
      <c r="BW108" s="121">
        <v>0</v>
      </c>
      <c r="BX108" s="121">
        <v>296404.5</v>
      </c>
      <c r="BY108" s="121">
        <v>0</v>
      </c>
      <c r="BZ108" s="121">
        <v>0</v>
      </c>
      <c r="CA108" s="121">
        <v>24149.81</v>
      </c>
      <c r="CB108" s="121">
        <v>0</v>
      </c>
      <c r="CC108" s="121">
        <v>0</v>
      </c>
      <c r="CD108" s="121">
        <v>5289.25</v>
      </c>
      <c r="CE108" s="121">
        <v>58019.41</v>
      </c>
      <c r="CF108" s="121">
        <v>24149.81</v>
      </c>
      <c r="CG108" s="121">
        <v>0</v>
      </c>
      <c r="CH108" s="121">
        <v>0</v>
      </c>
      <c r="CI108" s="121">
        <v>3470.63</v>
      </c>
      <c r="CJ108" s="121">
        <v>0</v>
      </c>
      <c r="CK108" s="121">
        <v>58928.72</v>
      </c>
      <c r="CL108" s="121">
        <v>468903.78</v>
      </c>
      <c r="CM108" s="121"/>
      <c r="CN108" s="121">
        <v>0</v>
      </c>
      <c r="CO108" s="121">
        <v>0</v>
      </c>
      <c r="CP108" s="121">
        <v>0</v>
      </c>
      <c r="CQ108" s="121">
        <v>0</v>
      </c>
      <c r="CR108" s="118"/>
      <c r="CS108" s="33">
        <v>468903.78</v>
      </c>
      <c r="CT108" s="33">
        <v>0</v>
      </c>
      <c r="CU108" s="65">
        <v>493053.59</v>
      </c>
      <c r="CV108" s="65">
        <v>-24149.81</v>
      </c>
      <c r="CW108" s="65">
        <v>-24149.809999999998</v>
      </c>
      <c r="CX108" s="33">
        <v>24149.81</v>
      </c>
      <c r="CY108" s="33">
        <v>468903.78</v>
      </c>
      <c r="CZ108" s="66">
        <v>0</v>
      </c>
      <c r="DA108" s="33">
        <v>58928.72</v>
      </c>
      <c r="DB108" s="33">
        <v>62567.809999999881</v>
      </c>
      <c r="DC108" s="33">
        <v>0</v>
      </c>
      <c r="DD108" s="65">
        <v>-24149.81</v>
      </c>
      <c r="DF108" s="33">
        <v>0</v>
      </c>
      <c r="DI108" s="33">
        <v>468903.78</v>
      </c>
      <c r="DJ108" s="33">
        <v>0</v>
      </c>
      <c r="DK108" s="65">
        <v>493053.59</v>
      </c>
      <c r="DL108" s="65">
        <v>-24149.81</v>
      </c>
      <c r="DQ108" s="115">
        <v>3301010</v>
      </c>
      <c r="DS108" s="33">
        <v>0</v>
      </c>
      <c r="DT108" s="33">
        <v>904604.88000000012</v>
      </c>
      <c r="DU108" s="33">
        <v>1031103.6100000001</v>
      </c>
      <c r="DV108" s="33">
        <v>-126498.72999999998</v>
      </c>
      <c r="DW108" s="33">
        <v>87458.47</v>
      </c>
      <c r="DX108" s="33">
        <v>62399.35</v>
      </c>
      <c r="DY108" s="33">
        <v>25059.120000000003</v>
      </c>
    </row>
    <row r="109" spans="1:141" x14ac:dyDescent="0.35">
      <c r="B109" s="87">
        <v>1014</v>
      </c>
      <c r="C109" s="115">
        <v>3301014</v>
      </c>
      <c r="D109" s="116" t="s">
        <v>335</v>
      </c>
      <c r="E109" s="116" t="s">
        <v>336</v>
      </c>
      <c r="F109" s="117"/>
      <c r="G109" s="118"/>
      <c r="H109" s="115"/>
      <c r="I109" s="115"/>
      <c r="J109" s="115"/>
      <c r="K109" s="115"/>
      <c r="L109" s="115"/>
      <c r="M109" s="115"/>
      <c r="N109" s="115"/>
      <c r="O109" s="115"/>
      <c r="P109" s="115"/>
      <c r="Q109" s="115"/>
      <c r="R109" s="115"/>
      <c r="S109" s="119"/>
      <c r="T109" s="119"/>
      <c r="U109" s="119"/>
      <c r="V109" s="119"/>
      <c r="W109" s="119"/>
      <c r="X109" s="119"/>
      <c r="Y109" s="120">
        <v>159486.60999999999</v>
      </c>
      <c r="Z109" s="120"/>
      <c r="AA109" s="120">
        <v>14445.93</v>
      </c>
      <c r="AB109" s="121">
        <v>672029.92</v>
      </c>
      <c r="AC109" s="121">
        <v>0</v>
      </c>
      <c r="AD109" s="121">
        <v>9279.17</v>
      </c>
      <c r="AE109" s="121">
        <v>0</v>
      </c>
      <c r="AF109" s="121">
        <v>0</v>
      </c>
      <c r="AG109" s="121">
        <v>0</v>
      </c>
      <c r="AH109" s="121">
        <v>0</v>
      </c>
      <c r="AI109" s="121">
        <v>0</v>
      </c>
      <c r="AJ109" s="121">
        <v>101509.99999999988</v>
      </c>
      <c r="AK109" s="121">
        <v>0</v>
      </c>
      <c r="AL109" s="121">
        <v>0</v>
      </c>
      <c r="AM109" s="121">
        <v>0</v>
      </c>
      <c r="AN109" s="121">
        <v>0</v>
      </c>
      <c r="AO109" s="121">
        <v>0</v>
      </c>
      <c r="AP109" s="121">
        <v>0</v>
      </c>
      <c r="AQ109" s="121">
        <v>0</v>
      </c>
      <c r="AR109" s="121">
        <v>0</v>
      </c>
      <c r="AS109" s="121">
        <v>0</v>
      </c>
      <c r="AT109" s="121">
        <v>0</v>
      </c>
      <c r="AU109" s="121">
        <v>0</v>
      </c>
      <c r="AV109" s="121">
        <v>0</v>
      </c>
      <c r="AW109" s="121">
        <v>227691.45</v>
      </c>
      <c r="AX109" s="121">
        <v>0</v>
      </c>
      <c r="AY109" s="121">
        <v>126251.65</v>
      </c>
      <c r="AZ109" s="121">
        <v>25966.57</v>
      </c>
      <c r="BA109" s="121">
        <v>145695.21</v>
      </c>
      <c r="BB109" s="121">
        <v>0</v>
      </c>
      <c r="BC109" s="121">
        <v>12141.82</v>
      </c>
      <c r="BD109" s="121">
        <v>0</v>
      </c>
      <c r="BE109" s="121">
        <v>1468.63</v>
      </c>
      <c r="BF109" s="121">
        <v>0</v>
      </c>
      <c r="BG109" s="121">
        <v>0</v>
      </c>
      <c r="BH109" s="121">
        <v>9673.9699999999993</v>
      </c>
      <c r="BI109" s="121">
        <v>2826.29</v>
      </c>
      <c r="BJ109" s="121">
        <v>2397.2199999999998</v>
      </c>
      <c r="BK109" s="121">
        <v>966.59</v>
      </c>
      <c r="BL109" s="121">
        <v>5745.25</v>
      </c>
      <c r="BM109" s="121">
        <v>0</v>
      </c>
      <c r="BN109" s="121">
        <v>3641.76</v>
      </c>
      <c r="BO109" s="121">
        <v>13570.44</v>
      </c>
      <c r="BP109" s="121">
        <v>295</v>
      </c>
      <c r="BQ109" s="121">
        <v>0</v>
      </c>
      <c r="BR109" s="121">
        <v>13672.22</v>
      </c>
      <c r="BS109" s="121">
        <v>4895</v>
      </c>
      <c r="BT109" s="121">
        <v>0</v>
      </c>
      <c r="BU109" s="121">
        <v>7832.53</v>
      </c>
      <c r="BV109" s="121">
        <v>83083.66</v>
      </c>
      <c r="BW109" s="121">
        <v>0</v>
      </c>
      <c r="BX109" s="121">
        <v>47509.03</v>
      </c>
      <c r="BY109" s="121">
        <v>0</v>
      </c>
      <c r="BZ109" s="121">
        <v>0</v>
      </c>
      <c r="CA109" s="121">
        <v>0</v>
      </c>
      <c r="CB109" s="121">
        <v>0</v>
      </c>
      <c r="CC109" s="121">
        <v>0</v>
      </c>
      <c r="CD109" s="121">
        <v>4911.25</v>
      </c>
      <c r="CE109" s="121">
        <v>71799.44</v>
      </c>
      <c r="CF109" s="121">
        <v>0</v>
      </c>
      <c r="CG109" s="121">
        <v>0</v>
      </c>
      <c r="CH109" s="121">
        <v>0</v>
      </c>
      <c r="CI109" s="121">
        <v>0</v>
      </c>
      <c r="CJ109" s="121">
        <v>0</v>
      </c>
      <c r="CK109" s="121">
        <v>66279.69</v>
      </c>
      <c r="CL109" s="121">
        <v>206981.41000000003</v>
      </c>
      <c r="CM109" s="121"/>
      <c r="CN109" s="121">
        <v>24876.93</v>
      </c>
      <c r="CO109" s="121">
        <v>0</v>
      </c>
      <c r="CP109" s="121">
        <v>0</v>
      </c>
      <c r="CQ109" s="121">
        <v>0</v>
      </c>
      <c r="CR109" s="118"/>
      <c r="CS109" s="33">
        <v>206981.41000000003</v>
      </c>
      <c r="CT109" s="33">
        <v>24876.93</v>
      </c>
      <c r="CU109" s="65">
        <v>206981.41</v>
      </c>
      <c r="CV109" s="65">
        <v>24876.93</v>
      </c>
      <c r="CW109" s="65">
        <v>0</v>
      </c>
      <c r="CX109" s="33">
        <v>0</v>
      </c>
      <c r="CY109" s="33">
        <v>231858.34</v>
      </c>
      <c r="CZ109" s="66">
        <v>0</v>
      </c>
      <c r="DA109" s="33">
        <v>66279.69</v>
      </c>
      <c r="DB109" s="33">
        <v>779.72000000011758</v>
      </c>
      <c r="DC109" s="33">
        <v>0</v>
      </c>
      <c r="DF109" s="33">
        <v>0</v>
      </c>
      <c r="DI109" s="33">
        <v>206981.41000000003</v>
      </c>
      <c r="DJ109" s="33">
        <v>24876.93</v>
      </c>
      <c r="DK109" s="65">
        <v>206981.41</v>
      </c>
      <c r="DL109" s="65">
        <v>24876.93</v>
      </c>
      <c r="DQ109" s="115">
        <v>3301014</v>
      </c>
      <c r="DS109" s="33">
        <v>0</v>
      </c>
      <c r="DT109" s="33">
        <v>782819.09</v>
      </c>
      <c r="DU109" s="33">
        <v>735324.28999999992</v>
      </c>
      <c r="DV109" s="33">
        <v>47494.800000000047</v>
      </c>
      <c r="DW109" s="33">
        <v>76710.69</v>
      </c>
      <c r="DX109" s="33">
        <v>66279.69</v>
      </c>
      <c r="DY109" s="33">
        <v>10431</v>
      </c>
    </row>
    <row r="110" spans="1:141" x14ac:dyDescent="0.35">
      <c r="B110" s="87">
        <v>1015</v>
      </c>
      <c r="C110" s="115">
        <v>3301015</v>
      </c>
      <c r="D110" s="116" t="s">
        <v>337</v>
      </c>
      <c r="E110" s="116" t="s">
        <v>338</v>
      </c>
      <c r="F110" s="117"/>
      <c r="G110" s="118"/>
      <c r="H110" s="115"/>
      <c r="I110" s="115"/>
      <c r="J110" s="115"/>
      <c r="K110" s="115"/>
      <c r="L110" s="115"/>
      <c r="M110" s="115"/>
      <c r="N110" s="115"/>
      <c r="O110" s="115"/>
      <c r="P110" s="115"/>
      <c r="Q110" s="115"/>
      <c r="R110" s="115"/>
      <c r="S110" s="119"/>
      <c r="T110" s="119"/>
      <c r="U110" s="119"/>
      <c r="V110" s="119"/>
      <c r="W110" s="119"/>
      <c r="X110" s="119"/>
      <c r="Y110" s="120">
        <v>170963.75</v>
      </c>
      <c r="Z110" s="120"/>
      <c r="AA110" s="120">
        <v>-10737.5</v>
      </c>
      <c r="AB110" s="121">
        <v>607983.06000000006</v>
      </c>
      <c r="AC110" s="121">
        <v>0</v>
      </c>
      <c r="AD110" s="121">
        <v>23420.42</v>
      </c>
      <c r="AE110" s="121">
        <v>0</v>
      </c>
      <c r="AF110" s="121">
        <v>0</v>
      </c>
      <c r="AG110" s="121">
        <v>0</v>
      </c>
      <c r="AH110" s="121">
        <v>0</v>
      </c>
      <c r="AI110" s="121">
        <v>0</v>
      </c>
      <c r="AJ110" s="121">
        <v>58139.25</v>
      </c>
      <c r="AK110" s="121">
        <v>0</v>
      </c>
      <c r="AL110" s="121">
        <v>0</v>
      </c>
      <c r="AM110" s="121">
        <v>0</v>
      </c>
      <c r="AN110" s="121">
        <v>48431.75</v>
      </c>
      <c r="AO110" s="121">
        <v>0</v>
      </c>
      <c r="AP110" s="121">
        <v>0</v>
      </c>
      <c r="AQ110" s="121">
        <v>0</v>
      </c>
      <c r="AR110" s="121">
        <v>0</v>
      </c>
      <c r="AS110" s="121">
        <v>0</v>
      </c>
      <c r="AT110" s="121">
        <v>0</v>
      </c>
      <c r="AU110" s="121">
        <v>0</v>
      </c>
      <c r="AV110" s="121">
        <v>0</v>
      </c>
      <c r="AW110" s="121">
        <v>152672.79</v>
      </c>
      <c r="AX110" s="121">
        <v>0</v>
      </c>
      <c r="AY110" s="121">
        <v>357234.64</v>
      </c>
      <c r="AZ110" s="121">
        <v>19512.03</v>
      </c>
      <c r="BA110" s="121">
        <v>37718</v>
      </c>
      <c r="BB110" s="121">
        <v>0</v>
      </c>
      <c r="BC110" s="121">
        <v>51516.61</v>
      </c>
      <c r="BD110" s="121">
        <v>350</v>
      </c>
      <c r="BE110" s="121">
        <v>6652.2</v>
      </c>
      <c r="BF110" s="121">
        <v>0</v>
      </c>
      <c r="BG110" s="121">
        <v>0</v>
      </c>
      <c r="BH110" s="121">
        <v>2684.59</v>
      </c>
      <c r="BI110" s="121">
        <v>794</v>
      </c>
      <c r="BJ110" s="121">
        <v>0</v>
      </c>
      <c r="BK110" s="121">
        <v>1659.05</v>
      </c>
      <c r="BL110" s="121">
        <v>9427.51</v>
      </c>
      <c r="BM110" s="121">
        <v>0</v>
      </c>
      <c r="BN110" s="121">
        <v>70</v>
      </c>
      <c r="BO110" s="121">
        <v>11339.640000000158</v>
      </c>
      <c r="BP110" s="121">
        <v>5665</v>
      </c>
      <c r="BQ110" s="121">
        <v>0</v>
      </c>
      <c r="BR110" s="121">
        <v>32219.97</v>
      </c>
      <c r="BS110" s="121">
        <v>3135</v>
      </c>
      <c r="BT110" s="121">
        <v>0</v>
      </c>
      <c r="BU110" s="121">
        <v>2700.88</v>
      </c>
      <c r="BV110" s="121">
        <v>27210.33</v>
      </c>
      <c r="BW110" s="121">
        <v>2250</v>
      </c>
      <c r="BX110" s="121">
        <v>24772.89</v>
      </c>
      <c r="BY110" s="121">
        <v>0</v>
      </c>
      <c r="BZ110" s="121">
        <v>0</v>
      </c>
      <c r="CA110" s="121">
        <v>18663.5</v>
      </c>
      <c r="CB110" s="121">
        <v>0</v>
      </c>
      <c r="CC110" s="121">
        <v>0</v>
      </c>
      <c r="CD110" s="121">
        <v>4850.5</v>
      </c>
      <c r="CE110" s="121">
        <v>42840.82</v>
      </c>
      <c r="CF110" s="121">
        <v>18663.5</v>
      </c>
      <c r="CG110" s="121">
        <v>0</v>
      </c>
      <c r="CH110" s="121">
        <v>0</v>
      </c>
      <c r="CI110" s="121">
        <v>4850.5</v>
      </c>
      <c r="CJ110" s="121">
        <v>7926</v>
      </c>
      <c r="CK110" s="121">
        <v>42840.82</v>
      </c>
      <c r="CL110" s="121">
        <v>140689.59999999998</v>
      </c>
      <c r="CM110" s="121"/>
      <c r="CN110" s="121">
        <v>0</v>
      </c>
      <c r="CO110" s="121">
        <v>0</v>
      </c>
      <c r="CP110" s="121">
        <v>0</v>
      </c>
      <c r="CQ110" s="121">
        <v>0</v>
      </c>
      <c r="CR110" s="118"/>
      <c r="CS110" s="33">
        <v>140689.59999999998</v>
      </c>
      <c r="CT110" s="33">
        <v>0</v>
      </c>
      <c r="CU110" s="65">
        <v>159353.1</v>
      </c>
      <c r="CV110" s="65">
        <v>-18663.5</v>
      </c>
      <c r="CW110" s="65">
        <v>-18663.500000000029</v>
      </c>
      <c r="CX110" s="33">
        <v>18663.5</v>
      </c>
      <c r="CY110" s="33">
        <v>140689.60000000001</v>
      </c>
      <c r="CZ110" s="66">
        <v>0</v>
      </c>
      <c r="DA110" s="33">
        <v>42840.82</v>
      </c>
      <c r="DB110" s="33">
        <v>0</v>
      </c>
      <c r="DC110" s="33">
        <v>-4.9999999842839316E-2</v>
      </c>
      <c r="DD110" s="65">
        <v>-18663.5</v>
      </c>
      <c r="DF110" s="33">
        <v>-2.9103830456733704E-11</v>
      </c>
      <c r="DI110" s="33">
        <v>140689.59999999998</v>
      </c>
      <c r="DJ110" s="33">
        <v>0</v>
      </c>
      <c r="DK110" s="65">
        <v>159353.1</v>
      </c>
      <c r="DL110" s="65">
        <v>-18663.5</v>
      </c>
      <c r="DQ110" s="115">
        <v>3301015</v>
      </c>
      <c r="DS110" s="33">
        <v>0</v>
      </c>
      <c r="DT110" s="33">
        <v>737974.4800000001</v>
      </c>
      <c r="DU110" s="33">
        <v>768248.63000000012</v>
      </c>
      <c r="DV110" s="33">
        <v>-30274.150000000023</v>
      </c>
      <c r="DW110" s="33">
        <v>66354.820000000007</v>
      </c>
      <c r="DX110" s="33">
        <v>55617.32</v>
      </c>
      <c r="DY110" s="33">
        <v>10737.500000000007</v>
      </c>
    </row>
    <row r="111" spans="1:141" x14ac:dyDescent="0.35">
      <c r="B111" s="87">
        <v>1016</v>
      </c>
      <c r="C111" s="115">
        <v>3301016</v>
      </c>
      <c r="D111" s="116" t="s">
        <v>339</v>
      </c>
      <c r="E111" s="116" t="s">
        <v>340</v>
      </c>
      <c r="F111" s="117"/>
      <c r="G111" s="118"/>
      <c r="H111" s="115"/>
      <c r="I111" s="115"/>
      <c r="J111" s="115"/>
      <c r="K111" s="115"/>
      <c r="L111" s="115"/>
      <c r="M111" s="115"/>
      <c r="N111" s="115"/>
      <c r="O111" s="115"/>
      <c r="P111" s="115"/>
      <c r="Q111" s="115"/>
      <c r="R111" s="115"/>
      <c r="S111" s="119"/>
      <c r="T111" s="119"/>
      <c r="U111" s="119"/>
      <c r="V111" s="119"/>
      <c r="W111" s="119"/>
      <c r="X111" s="119"/>
      <c r="Y111" s="120"/>
      <c r="Z111" s="120">
        <v>-7557.74</v>
      </c>
      <c r="AA111" s="120">
        <v>-2598.75</v>
      </c>
      <c r="AB111" s="121">
        <v>531847.77</v>
      </c>
      <c r="AC111" s="121">
        <v>0</v>
      </c>
      <c r="AD111" s="121">
        <v>25517.5</v>
      </c>
      <c r="AE111" s="121">
        <v>0</v>
      </c>
      <c r="AF111" s="121">
        <v>0</v>
      </c>
      <c r="AG111" s="121">
        <v>3200</v>
      </c>
      <c r="AH111" s="121">
        <v>0</v>
      </c>
      <c r="AI111" s="121">
        <v>0</v>
      </c>
      <c r="AJ111" s="121">
        <v>27251.499999999785</v>
      </c>
      <c r="AK111" s="121">
        <v>0</v>
      </c>
      <c r="AL111" s="121">
        <v>0</v>
      </c>
      <c r="AM111" s="121">
        <v>0</v>
      </c>
      <c r="AN111" s="121">
        <v>23450.76</v>
      </c>
      <c r="AO111" s="121">
        <v>0</v>
      </c>
      <c r="AP111" s="121">
        <v>0</v>
      </c>
      <c r="AQ111" s="121">
        <v>0</v>
      </c>
      <c r="AR111" s="121">
        <v>0</v>
      </c>
      <c r="AS111" s="121">
        <v>0</v>
      </c>
      <c r="AT111" s="121">
        <v>0</v>
      </c>
      <c r="AU111" s="121">
        <v>0</v>
      </c>
      <c r="AV111" s="121">
        <v>0</v>
      </c>
      <c r="AW111" s="121">
        <v>141837.57999999999</v>
      </c>
      <c r="AX111" s="121">
        <v>19719.77</v>
      </c>
      <c r="AY111" s="121">
        <v>224462.9</v>
      </c>
      <c r="AZ111" s="121">
        <v>0</v>
      </c>
      <c r="BA111" s="121">
        <v>75549.179999999993</v>
      </c>
      <c r="BB111" s="121">
        <v>0</v>
      </c>
      <c r="BC111" s="121">
        <v>23009.599999999999</v>
      </c>
      <c r="BD111" s="121">
        <v>6160.38</v>
      </c>
      <c r="BE111" s="121">
        <v>195</v>
      </c>
      <c r="BF111" s="121">
        <v>0</v>
      </c>
      <c r="BG111" s="121">
        <v>0</v>
      </c>
      <c r="BH111" s="121">
        <v>6803.16</v>
      </c>
      <c r="BI111" s="121">
        <v>2542.1</v>
      </c>
      <c r="BJ111" s="121">
        <v>2022.2</v>
      </c>
      <c r="BK111" s="121">
        <v>1175.79</v>
      </c>
      <c r="BL111" s="121">
        <v>12856.03</v>
      </c>
      <c r="BM111" s="121">
        <v>0</v>
      </c>
      <c r="BN111" s="121">
        <v>683.98</v>
      </c>
      <c r="BO111" s="121">
        <v>1307.04</v>
      </c>
      <c r="BP111" s="121">
        <v>0</v>
      </c>
      <c r="BQ111" s="121">
        <v>0</v>
      </c>
      <c r="BR111" s="121">
        <v>3196.65</v>
      </c>
      <c r="BS111" s="121">
        <v>4895</v>
      </c>
      <c r="BT111" s="121">
        <v>0</v>
      </c>
      <c r="BU111" s="121">
        <v>0</v>
      </c>
      <c r="BV111" s="121">
        <v>2081.09</v>
      </c>
      <c r="BW111" s="121">
        <v>1499.87</v>
      </c>
      <c r="BX111" s="121">
        <v>26735.87</v>
      </c>
      <c r="BY111" s="121">
        <v>0</v>
      </c>
      <c r="BZ111" s="121">
        <v>0</v>
      </c>
      <c r="CA111" s="121">
        <v>15715.49</v>
      </c>
      <c r="CB111" s="121">
        <v>0</v>
      </c>
      <c r="CC111" s="121">
        <v>0</v>
      </c>
      <c r="CD111" s="121">
        <v>4805.95</v>
      </c>
      <c r="CE111" s="121">
        <v>30974.799999999999</v>
      </c>
      <c r="CF111" s="121">
        <v>15715.49</v>
      </c>
      <c r="CG111" s="121">
        <v>0</v>
      </c>
      <c r="CH111" s="121">
        <v>0</v>
      </c>
      <c r="CI111" s="121">
        <v>0</v>
      </c>
      <c r="CJ111" s="121">
        <v>27574.74</v>
      </c>
      <c r="CK111" s="121">
        <v>21322.75</v>
      </c>
      <c r="CL111" s="121">
        <v>31261.109999999979</v>
      </c>
      <c r="CM111" s="121"/>
      <c r="CN111" s="121">
        <v>0</v>
      </c>
      <c r="CO111" s="121">
        <v>0</v>
      </c>
      <c r="CP111" s="121">
        <v>0</v>
      </c>
      <c r="CQ111" s="121">
        <v>0</v>
      </c>
      <c r="CR111" s="118"/>
      <c r="CS111" s="33">
        <v>31261.109999999979</v>
      </c>
      <c r="CT111" s="33">
        <v>0</v>
      </c>
      <c r="CU111" s="65">
        <v>46976.6</v>
      </c>
      <c r="CV111" s="65">
        <v>-15715.49</v>
      </c>
      <c r="CW111" s="65">
        <v>-15715.49000000002</v>
      </c>
      <c r="CX111" s="33">
        <v>15715.49</v>
      </c>
      <c r="CY111" s="33">
        <v>31261.11</v>
      </c>
      <c r="CZ111" s="66">
        <v>0</v>
      </c>
      <c r="DA111" s="33">
        <v>21322.75</v>
      </c>
      <c r="DB111" s="33">
        <v>1.0000000213040039E-2</v>
      </c>
      <c r="DC111" s="33">
        <v>0</v>
      </c>
      <c r="DD111" s="65">
        <v>-15715.49</v>
      </c>
      <c r="DF111" s="33">
        <v>-2.0008883439004421E-11</v>
      </c>
      <c r="DI111" s="33">
        <v>31261.109999999979</v>
      </c>
      <c r="DJ111" s="33">
        <v>0</v>
      </c>
      <c r="DK111" s="65">
        <v>46976.6</v>
      </c>
      <c r="DL111" s="65">
        <v>-15715.49</v>
      </c>
      <c r="DQ111" s="115">
        <v>3301016</v>
      </c>
      <c r="DS111" s="33">
        <v>0</v>
      </c>
      <c r="DT111" s="33">
        <v>611267.5299999998</v>
      </c>
      <c r="DU111" s="33">
        <v>572448.67999999982</v>
      </c>
      <c r="DV111" s="33">
        <v>38818.849999999977</v>
      </c>
      <c r="DW111" s="33">
        <v>51496.24</v>
      </c>
      <c r="DX111" s="33">
        <v>48897.490000000005</v>
      </c>
      <c r="DY111" s="33">
        <v>2598.7499999999927</v>
      </c>
    </row>
    <row r="112" spans="1:141" x14ac:dyDescent="0.35">
      <c r="B112" s="87">
        <v>1017</v>
      </c>
      <c r="C112" s="115">
        <v>3301017</v>
      </c>
      <c r="D112" s="116" t="s">
        <v>341</v>
      </c>
      <c r="E112" s="116" t="s">
        <v>342</v>
      </c>
      <c r="F112" s="117"/>
      <c r="G112" s="118"/>
      <c r="H112" s="115"/>
      <c r="I112" s="115"/>
      <c r="J112" s="115"/>
      <c r="K112" s="115"/>
      <c r="L112" s="115"/>
      <c r="M112" s="115"/>
      <c r="N112" s="115"/>
      <c r="O112" s="115"/>
      <c r="P112" s="115"/>
      <c r="Q112" s="115"/>
      <c r="R112" s="115"/>
      <c r="S112" s="119"/>
      <c r="T112" s="119"/>
      <c r="U112" s="119"/>
      <c r="V112" s="119"/>
      <c r="W112" s="119"/>
      <c r="X112" s="119"/>
      <c r="Y112" s="120">
        <v>158940.51999999999</v>
      </c>
      <c r="Z112" s="120"/>
      <c r="AA112" s="120">
        <v>4011.96</v>
      </c>
      <c r="AB112" s="121">
        <v>846945.41</v>
      </c>
      <c r="AC112" s="121">
        <v>0</v>
      </c>
      <c r="AD112" s="121">
        <v>186670.25</v>
      </c>
      <c r="AE112" s="121">
        <v>0</v>
      </c>
      <c r="AF112" s="121">
        <v>0</v>
      </c>
      <c r="AG112" s="121">
        <v>0</v>
      </c>
      <c r="AH112" s="121">
        <v>0</v>
      </c>
      <c r="AI112" s="121">
        <v>0</v>
      </c>
      <c r="AJ112" s="121">
        <v>477733.64000000048</v>
      </c>
      <c r="AK112" s="121">
        <v>8549.69</v>
      </c>
      <c r="AL112" s="121">
        <v>0</v>
      </c>
      <c r="AM112" s="121">
        <v>0</v>
      </c>
      <c r="AN112" s="121">
        <v>0</v>
      </c>
      <c r="AO112" s="121">
        <v>0</v>
      </c>
      <c r="AP112" s="121">
        <v>0</v>
      </c>
      <c r="AQ112" s="121">
        <v>0</v>
      </c>
      <c r="AR112" s="121">
        <v>0</v>
      </c>
      <c r="AS112" s="121">
        <v>0</v>
      </c>
      <c r="AT112" s="121">
        <v>0</v>
      </c>
      <c r="AU112" s="121">
        <v>0</v>
      </c>
      <c r="AV112" s="121">
        <v>0</v>
      </c>
      <c r="AW112" s="121">
        <v>207867.54</v>
      </c>
      <c r="AX112" s="121">
        <v>0</v>
      </c>
      <c r="AY112" s="121">
        <v>516884.68</v>
      </c>
      <c r="AZ112" s="121">
        <v>0</v>
      </c>
      <c r="BA112" s="121">
        <v>186361.8</v>
      </c>
      <c r="BB112" s="121">
        <v>0</v>
      </c>
      <c r="BC112" s="121">
        <v>71385.759999999995</v>
      </c>
      <c r="BD112" s="121">
        <v>0</v>
      </c>
      <c r="BE112" s="121">
        <v>5834.05</v>
      </c>
      <c r="BF112" s="121">
        <v>0</v>
      </c>
      <c r="BG112" s="121">
        <v>0</v>
      </c>
      <c r="BH112" s="121">
        <v>41167.07</v>
      </c>
      <c r="BI112" s="121">
        <v>0</v>
      </c>
      <c r="BJ112" s="121">
        <v>0</v>
      </c>
      <c r="BK112" s="121">
        <v>2021.92</v>
      </c>
      <c r="BL112" s="121">
        <v>31325.599999999999</v>
      </c>
      <c r="BM112" s="121">
        <v>0</v>
      </c>
      <c r="BN112" s="121">
        <v>1313</v>
      </c>
      <c r="BO112" s="121">
        <v>14663.34</v>
      </c>
      <c r="BP112" s="121">
        <v>1203.2</v>
      </c>
      <c r="BQ112" s="121">
        <v>0</v>
      </c>
      <c r="BR112" s="121">
        <v>73653.36</v>
      </c>
      <c r="BS112" s="121">
        <v>4895</v>
      </c>
      <c r="BT112" s="121">
        <v>0</v>
      </c>
      <c r="BU112" s="121">
        <v>15306.25</v>
      </c>
      <c r="BV112" s="121">
        <v>129892.87</v>
      </c>
      <c r="BW112" s="121">
        <v>0</v>
      </c>
      <c r="BX112" s="121">
        <v>352119.03</v>
      </c>
      <c r="BY112" s="121">
        <v>90884.07</v>
      </c>
      <c r="BZ112" s="121">
        <v>0</v>
      </c>
      <c r="CA112" s="121">
        <v>0</v>
      </c>
      <c r="CB112" s="121">
        <v>0</v>
      </c>
      <c r="CC112" s="121">
        <v>0</v>
      </c>
      <c r="CD112" s="121">
        <v>5298.7</v>
      </c>
      <c r="CE112" s="121">
        <v>28397.869999999995</v>
      </c>
      <c r="CF112" s="121">
        <v>0</v>
      </c>
      <c r="CG112" s="121">
        <v>0</v>
      </c>
      <c r="CH112" s="121">
        <v>0</v>
      </c>
      <c r="CI112" s="121">
        <v>28194.85</v>
      </c>
      <c r="CJ112" s="121">
        <v>3646.28</v>
      </c>
      <c r="CK112" s="121"/>
      <c r="CL112" s="121">
        <v>-67939.030000000057</v>
      </c>
      <c r="CM112" s="121"/>
      <c r="CN112" s="121">
        <v>5867.3999999999951</v>
      </c>
      <c r="CO112" s="121">
        <v>0</v>
      </c>
      <c r="CP112" s="121">
        <v>0</v>
      </c>
      <c r="CQ112" s="121">
        <v>0</v>
      </c>
      <c r="CR112" s="118"/>
      <c r="CS112" s="33">
        <v>-67939.030000000057</v>
      </c>
      <c r="CT112" s="33">
        <v>5867.3999999999951</v>
      </c>
      <c r="CU112" s="65">
        <v>-67939.03</v>
      </c>
      <c r="CV112" s="65">
        <v>5867.4</v>
      </c>
      <c r="CW112" s="65">
        <v>0</v>
      </c>
      <c r="CX112" s="33">
        <v>0</v>
      </c>
      <c r="CY112" s="33">
        <v>-62071.63</v>
      </c>
      <c r="CZ112" s="66">
        <v>28397.869999999995</v>
      </c>
      <c r="DA112" s="33">
        <v>28397.869999999995</v>
      </c>
      <c r="DB112" s="33">
        <v>1.9999999494757503E-2</v>
      </c>
      <c r="DC112" s="33">
        <v>0</v>
      </c>
      <c r="DF112" s="33">
        <v>-6.3664629124104977E-11</v>
      </c>
      <c r="DI112" s="33">
        <v>-67939.030000000057</v>
      </c>
      <c r="DJ112" s="33">
        <v>5867.3999999999951</v>
      </c>
      <c r="DK112" s="65">
        <v>-67939.03</v>
      </c>
      <c r="DL112" s="65">
        <v>5867.4</v>
      </c>
      <c r="DQ112" s="115">
        <v>3301017</v>
      </c>
      <c r="DS112" s="33">
        <v>0</v>
      </c>
      <c r="DT112" s="33">
        <v>1519898.9900000005</v>
      </c>
      <c r="DU112" s="33">
        <v>1746778.5400000005</v>
      </c>
      <c r="DV112" s="33">
        <v>-226879.55000000005</v>
      </c>
      <c r="DW112" s="33">
        <v>33696.569999999992</v>
      </c>
      <c r="DX112" s="33">
        <v>31841.129999999997</v>
      </c>
      <c r="DY112" s="33">
        <v>1855.4399999999951</v>
      </c>
    </row>
    <row r="113" spans="2:129" x14ac:dyDescent="0.35">
      <c r="B113" s="87">
        <v>1019</v>
      </c>
      <c r="C113" s="115">
        <v>3301019</v>
      </c>
      <c r="D113" s="116" t="s">
        <v>343</v>
      </c>
      <c r="E113" s="116" t="s">
        <v>344</v>
      </c>
      <c r="F113" s="117"/>
      <c r="G113" s="118"/>
      <c r="H113" s="115"/>
      <c r="I113" s="115"/>
      <c r="J113" s="115"/>
      <c r="K113" s="115"/>
      <c r="L113" s="115"/>
      <c r="M113" s="115"/>
      <c r="N113" s="115"/>
      <c r="O113" s="115"/>
      <c r="P113" s="115"/>
      <c r="Q113" s="115"/>
      <c r="R113" s="115"/>
      <c r="S113" s="119"/>
      <c r="T113" s="119"/>
      <c r="U113" s="119"/>
      <c r="V113" s="119"/>
      <c r="W113" s="119"/>
      <c r="X113" s="119"/>
      <c r="Y113" s="120"/>
      <c r="Z113" s="120">
        <v>-384063.09</v>
      </c>
      <c r="AA113" s="120">
        <v>-34749.64</v>
      </c>
      <c r="AB113" s="121">
        <v>750859.92</v>
      </c>
      <c r="AC113" s="121">
        <v>0</v>
      </c>
      <c r="AD113" s="121">
        <v>13777.5</v>
      </c>
      <c r="AE113" s="121">
        <v>0</v>
      </c>
      <c r="AF113" s="121">
        <v>0</v>
      </c>
      <c r="AG113" s="121">
        <v>200</v>
      </c>
      <c r="AH113" s="121">
        <v>0</v>
      </c>
      <c r="AI113" s="121">
        <v>0</v>
      </c>
      <c r="AJ113" s="121">
        <v>61998.36</v>
      </c>
      <c r="AK113" s="121">
        <v>0</v>
      </c>
      <c r="AL113" s="121">
        <v>0</v>
      </c>
      <c r="AM113" s="121">
        <v>0</v>
      </c>
      <c r="AN113" s="121">
        <v>15416.77</v>
      </c>
      <c r="AO113" s="121">
        <v>0</v>
      </c>
      <c r="AP113" s="121">
        <v>0</v>
      </c>
      <c r="AQ113" s="121">
        <v>0</v>
      </c>
      <c r="AR113" s="121">
        <v>0</v>
      </c>
      <c r="AS113" s="121">
        <v>0</v>
      </c>
      <c r="AT113" s="121">
        <v>0</v>
      </c>
      <c r="AU113" s="121">
        <v>0</v>
      </c>
      <c r="AV113" s="121">
        <v>0</v>
      </c>
      <c r="AW113" s="121">
        <v>269277.13</v>
      </c>
      <c r="AX113" s="121">
        <v>0</v>
      </c>
      <c r="AY113" s="121">
        <v>234017.75</v>
      </c>
      <c r="AZ113" s="121">
        <v>0</v>
      </c>
      <c r="BA113" s="121">
        <v>198658.96</v>
      </c>
      <c r="BB113" s="121">
        <v>0</v>
      </c>
      <c r="BC113" s="121">
        <v>10884.43</v>
      </c>
      <c r="BD113" s="121">
        <v>627.34</v>
      </c>
      <c r="BE113" s="121">
        <v>2349.65</v>
      </c>
      <c r="BF113" s="121">
        <v>0</v>
      </c>
      <c r="BG113" s="121">
        <v>0</v>
      </c>
      <c r="BH113" s="121">
        <v>23428.95</v>
      </c>
      <c r="BI113" s="121">
        <v>0</v>
      </c>
      <c r="BJ113" s="121">
        <v>16366.78</v>
      </c>
      <c r="BK113" s="121">
        <v>1022.86</v>
      </c>
      <c r="BL113" s="121">
        <v>23347.7</v>
      </c>
      <c r="BM113" s="121">
        <v>0</v>
      </c>
      <c r="BN113" s="121">
        <v>36364.199999999997</v>
      </c>
      <c r="BO113" s="121">
        <v>9026.4500000000917</v>
      </c>
      <c r="BP113" s="121">
        <v>1560</v>
      </c>
      <c r="BQ113" s="121">
        <v>0</v>
      </c>
      <c r="BR113" s="121">
        <v>13319.22</v>
      </c>
      <c r="BS113" s="121">
        <v>3135</v>
      </c>
      <c r="BT113" s="121">
        <v>0</v>
      </c>
      <c r="BU113" s="121">
        <v>7486.26</v>
      </c>
      <c r="BV113" s="121">
        <v>31688.240000000002</v>
      </c>
      <c r="BW113" s="121">
        <v>1500</v>
      </c>
      <c r="BX113" s="121">
        <v>51653.93</v>
      </c>
      <c r="BY113" s="121">
        <v>0</v>
      </c>
      <c r="BZ113" s="121">
        <v>0</v>
      </c>
      <c r="CA113" s="121">
        <v>26818.83</v>
      </c>
      <c r="CB113" s="121">
        <v>0</v>
      </c>
      <c r="CC113" s="121">
        <v>0</v>
      </c>
      <c r="CD113" s="121">
        <v>5201.5</v>
      </c>
      <c r="CE113" s="121">
        <v>11925.759999999995</v>
      </c>
      <c r="CF113" s="121">
        <v>26818.83</v>
      </c>
      <c r="CG113" s="121">
        <v>0</v>
      </c>
      <c r="CH113" s="121">
        <v>0</v>
      </c>
      <c r="CI113" s="121">
        <v>0</v>
      </c>
      <c r="CJ113" s="121">
        <v>9196.4500000000007</v>
      </c>
      <c r="CK113" s="121"/>
      <c r="CL113" s="121">
        <v>-504344.21999999991</v>
      </c>
      <c r="CM113" s="121"/>
      <c r="CN113" s="121">
        <v>0</v>
      </c>
      <c r="CO113" s="121">
        <v>0</v>
      </c>
      <c r="CP113" s="121">
        <v>0</v>
      </c>
      <c r="CQ113" s="121">
        <v>0</v>
      </c>
      <c r="CR113" s="118"/>
      <c r="CS113" s="33">
        <v>-504344.21999999991</v>
      </c>
      <c r="CT113" s="33">
        <v>0</v>
      </c>
      <c r="CU113" s="65">
        <v>-477525.39</v>
      </c>
      <c r="CV113" s="65">
        <v>-26818.83</v>
      </c>
      <c r="CW113" s="65">
        <v>-26818.8299999999</v>
      </c>
      <c r="CX113" s="33">
        <v>-26818.83</v>
      </c>
      <c r="CY113" s="33">
        <v>-504344.22000000003</v>
      </c>
      <c r="CZ113" s="66">
        <v>11925.759999999995</v>
      </c>
      <c r="DA113" s="33">
        <v>11925.759999999995</v>
      </c>
      <c r="DB113" s="33">
        <v>0</v>
      </c>
      <c r="DC113" s="33">
        <v>-8.9999999909196049E-2</v>
      </c>
      <c r="DD113" s="65">
        <v>-26818.83</v>
      </c>
      <c r="DF113" s="33">
        <v>1.0186340659856796E-10</v>
      </c>
      <c r="DI113" s="33">
        <v>-504344.21999999991</v>
      </c>
      <c r="DJ113" s="33">
        <v>0</v>
      </c>
      <c r="DK113" s="65">
        <v>-477525.39</v>
      </c>
      <c r="DL113" s="65">
        <v>-26818.83</v>
      </c>
      <c r="DQ113" s="115">
        <v>3301019</v>
      </c>
      <c r="DS113" s="33">
        <v>0</v>
      </c>
      <c r="DT113" s="33">
        <v>842252.55</v>
      </c>
      <c r="DU113" s="33">
        <v>962533.67999999993</v>
      </c>
      <c r="DV113" s="33">
        <v>-120281.12999999989</v>
      </c>
      <c r="DW113" s="33">
        <v>43946.09</v>
      </c>
      <c r="DX113" s="33">
        <v>9196.4500000000007</v>
      </c>
      <c r="DY113" s="33">
        <v>34749.64</v>
      </c>
    </row>
    <row r="114" spans="2:129" x14ac:dyDescent="0.35">
      <c r="B114" s="87">
        <v>1020</v>
      </c>
      <c r="C114" s="115">
        <v>3301020</v>
      </c>
      <c r="D114" s="116" t="s">
        <v>345</v>
      </c>
      <c r="E114" s="116" t="s">
        <v>346</v>
      </c>
      <c r="F114" s="117"/>
      <c r="G114" s="118"/>
      <c r="H114" s="115"/>
      <c r="I114" s="115"/>
      <c r="J114" s="115"/>
      <c r="K114" s="115"/>
      <c r="L114" s="115"/>
      <c r="M114" s="115"/>
      <c r="N114" s="115"/>
      <c r="O114" s="115"/>
      <c r="P114" s="115"/>
      <c r="Q114" s="115"/>
      <c r="R114" s="115"/>
      <c r="S114" s="119"/>
      <c r="T114" s="119"/>
      <c r="U114" s="119"/>
      <c r="V114" s="119"/>
      <c r="W114" s="119"/>
      <c r="X114" s="119"/>
      <c r="Y114" s="120"/>
      <c r="Z114" s="120">
        <v>-41667.449999999997</v>
      </c>
      <c r="AA114" s="120">
        <v>-28492.51</v>
      </c>
      <c r="AB114" s="121">
        <v>903129.65</v>
      </c>
      <c r="AC114" s="121">
        <v>0</v>
      </c>
      <c r="AD114" s="121">
        <v>35686.6</v>
      </c>
      <c r="AE114" s="121">
        <v>0</v>
      </c>
      <c r="AF114" s="121">
        <v>0</v>
      </c>
      <c r="AG114" s="121">
        <v>0</v>
      </c>
      <c r="AH114" s="121">
        <v>0</v>
      </c>
      <c r="AI114" s="121">
        <v>0</v>
      </c>
      <c r="AJ114" s="121">
        <v>0</v>
      </c>
      <c r="AK114" s="121">
        <v>0</v>
      </c>
      <c r="AL114" s="121">
        <v>0</v>
      </c>
      <c r="AM114" s="121">
        <v>0</v>
      </c>
      <c r="AN114" s="121">
        <v>28043.87</v>
      </c>
      <c r="AO114" s="121">
        <v>0</v>
      </c>
      <c r="AP114" s="121">
        <v>0</v>
      </c>
      <c r="AQ114" s="121">
        <v>0</v>
      </c>
      <c r="AR114" s="121">
        <v>0</v>
      </c>
      <c r="AS114" s="121">
        <v>0</v>
      </c>
      <c r="AT114" s="121">
        <v>0</v>
      </c>
      <c r="AU114" s="121">
        <v>0</v>
      </c>
      <c r="AV114" s="121">
        <v>0</v>
      </c>
      <c r="AW114" s="121">
        <v>383716.31000000006</v>
      </c>
      <c r="AX114" s="121">
        <v>0</v>
      </c>
      <c r="AY114" s="121">
        <v>334588.75</v>
      </c>
      <c r="AZ114" s="121">
        <v>60543.56</v>
      </c>
      <c r="BA114" s="121">
        <v>181593.83</v>
      </c>
      <c r="BB114" s="121">
        <v>0</v>
      </c>
      <c r="BC114" s="121">
        <v>16953.919999999998</v>
      </c>
      <c r="BD114" s="121">
        <v>273.91000000000003</v>
      </c>
      <c r="BE114" s="121">
        <v>1145</v>
      </c>
      <c r="BF114" s="121">
        <v>0</v>
      </c>
      <c r="BG114" s="121">
        <v>0</v>
      </c>
      <c r="BH114" s="121">
        <v>21084.54</v>
      </c>
      <c r="BI114" s="121">
        <v>0</v>
      </c>
      <c r="BJ114" s="121">
        <v>7257.14</v>
      </c>
      <c r="BK114" s="121">
        <v>753.42</v>
      </c>
      <c r="BL114" s="121">
        <v>40027.089999999997</v>
      </c>
      <c r="BM114" s="121">
        <v>6418.39</v>
      </c>
      <c r="BN114" s="121">
        <v>14995.94</v>
      </c>
      <c r="BO114" s="121">
        <v>36320.5</v>
      </c>
      <c r="BP114" s="121">
        <v>896.64</v>
      </c>
      <c r="BQ114" s="121">
        <v>488.08</v>
      </c>
      <c r="BR114" s="121">
        <v>30521.23</v>
      </c>
      <c r="BS114" s="121">
        <v>4895</v>
      </c>
      <c r="BT114" s="121">
        <v>0</v>
      </c>
      <c r="BU114" s="121">
        <v>9724.5</v>
      </c>
      <c r="BV114" s="121">
        <v>0</v>
      </c>
      <c r="BW114" s="121">
        <v>0</v>
      </c>
      <c r="BX114" s="121">
        <v>247269.48</v>
      </c>
      <c r="BY114" s="121">
        <v>0</v>
      </c>
      <c r="BZ114" s="121">
        <v>0</v>
      </c>
      <c r="CA114" s="121">
        <v>28492.51</v>
      </c>
      <c r="CB114" s="121">
        <v>0</v>
      </c>
      <c r="CC114" s="121">
        <v>0</v>
      </c>
      <c r="CD114" s="121">
        <v>5316.25</v>
      </c>
      <c r="CE114" s="121">
        <v>0</v>
      </c>
      <c r="CF114" s="121">
        <v>28492.51</v>
      </c>
      <c r="CG114" s="121">
        <v>0</v>
      </c>
      <c r="CH114" s="121">
        <v>0</v>
      </c>
      <c r="CI114" s="121">
        <v>5316.25</v>
      </c>
      <c r="CJ114" s="121">
        <v>0</v>
      </c>
      <c r="CK114" s="121">
        <v>0</v>
      </c>
      <c r="CL114" s="121">
        <v>-502767.07</v>
      </c>
      <c r="CM114" s="121"/>
      <c r="CN114" s="121">
        <v>0</v>
      </c>
      <c r="CO114" s="121">
        <v>0</v>
      </c>
      <c r="CP114" s="121">
        <v>0</v>
      </c>
      <c r="CQ114" s="121">
        <v>0</v>
      </c>
      <c r="CR114" s="118"/>
      <c r="CS114" s="33">
        <v>-502767.07</v>
      </c>
      <c r="CT114" s="33">
        <v>0</v>
      </c>
      <c r="CU114" s="65">
        <v>-474274.56</v>
      </c>
      <c r="CV114" s="65">
        <v>-28492.51</v>
      </c>
      <c r="CW114" s="65">
        <v>-28492.510000000009</v>
      </c>
      <c r="CX114" s="33">
        <v>-28492.51</v>
      </c>
      <c r="CY114" s="33">
        <v>-502767.07</v>
      </c>
      <c r="CZ114" s="66">
        <v>0</v>
      </c>
      <c r="DA114" s="33">
        <v>0</v>
      </c>
      <c r="DB114" s="33">
        <v>5.0000000046566129E-2</v>
      </c>
      <c r="DC114" s="33">
        <v>0</v>
      </c>
      <c r="DD114" s="65">
        <v>-28492.51</v>
      </c>
      <c r="DF114" s="33">
        <v>0</v>
      </c>
      <c r="DI114" s="33">
        <v>-502767.07</v>
      </c>
      <c r="DJ114" s="33">
        <v>0</v>
      </c>
      <c r="DK114" s="65">
        <v>-474274.56</v>
      </c>
      <c r="DL114" s="65">
        <v>-28492.51</v>
      </c>
      <c r="DQ114" s="115">
        <v>3301020</v>
      </c>
      <c r="DS114" s="33">
        <v>0</v>
      </c>
      <c r="DT114" s="33">
        <v>966860.12</v>
      </c>
      <c r="DU114" s="33">
        <v>1427959.74</v>
      </c>
      <c r="DV114" s="33">
        <v>-461099.62</v>
      </c>
      <c r="DW114" s="33">
        <v>33808.759999999995</v>
      </c>
      <c r="DX114" s="33">
        <v>5316.25</v>
      </c>
      <c r="DY114" s="33">
        <v>28492.509999999995</v>
      </c>
    </row>
    <row r="115" spans="2:129" x14ac:dyDescent="0.35">
      <c r="B115" s="87">
        <v>1021</v>
      </c>
      <c r="C115" s="115">
        <v>3301021</v>
      </c>
      <c r="D115" s="116" t="s">
        <v>347</v>
      </c>
      <c r="E115" s="116" t="s">
        <v>348</v>
      </c>
      <c r="F115" s="117"/>
      <c r="G115" s="118"/>
      <c r="H115" s="115"/>
      <c r="I115" s="115"/>
      <c r="J115" s="115"/>
      <c r="K115" s="115"/>
      <c r="L115" s="115"/>
      <c r="M115" s="115"/>
      <c r="N115" s="115"/>
      <c r="O115" s="115"/>
      <c r="P115" s="115"/>
      <c r="Q115" s="115"/>
      <c r="R115" s="115"/>
      <c r="S115" s="119"/>
      <c r="T115" s="119"/>
      <c r="U115" s="119"/>
      <c r="V115" s="119"/>
      <c r="W115" s="119"/>
      <c r="X115" s="119"/>
      <c r="Y115" s="120">
        <v>88202</v>
      </c>
      <c r="Z115" s="120"/>
      <c r="AA115" s="120">
        <v>-9753.56</v>
      </c>
      <c r="AB115" s="121">
        <v>307005.34999999998</v>
      </c>
      <c r="AC115" s="121">
        <v>0</v>
      </c>
      <c r="AD115" s="121">
        <v>4042.5</v>
      </c>
      <c r="AE115" s="121">
        <v>0</v>
      </c>
      <c r="AF115" s="121">
        <v>0</v>
      </c>
      <c r="AG115" s="121">
        <v>0</v>
      </c>
      <c r="AH115" s="121">
        <v>0</v>
      </c>
      <c r="AI115" s="121">
        <v>0</v>
      </c>
      <c r="AJ115" s="121">
        <v>164077.12999999998</v>
      </c>
      <c r="AK115" s="121">
        <v>0</v>
      </c>
      <c r="AL115" s="121">
        <v>0</v>
      </c>
      <c r="AM115" s="121">
        <v>0</v>
      </c>
      <c r="AN115" s="121">
        <v>8751</v>
      </c>
      <c r="AO115" s="121">
        <v>0</v>
      </c>
      <c r="AP115" s="121">
        <v>0</v>
      </c>
      <c r="AQ115" s="121">
        <v>0</v>
      </c>
      <c r="AR115" s="121">
        <v>0</v>
      </c>
      <c r="AS115" s="121">
        <v>0</v>
      </c>
      <c r="AT115" s="121">
        <v>0</v>
      </c>
      <c r="AU115" s="121">
        <v>0</v>
      </c>
      <c r="AV115" s="121">
        <v>0</v>
      </c>
      <c r="AW115" s="121">
        <v>124783.2</v>
      </c>
      <c r="AX115" s="121">
        <v>0</v>
      </c>
      <c r="AY115" s="121">
        <v>50508.27</v>
      </c>
      <c r="AZ115" s="121">
        <v>0</v>
      </c>
      <c r="BA115" s="121">
        <v>82022.13</v>
      </c>
      <c r="BB115" s="121">
        <v>0</v>
      </c>
      <c r="BC115" s="121">
        <v>30875.09</v>
      </c>
      <c r="BD115" s="121">
        <v>0</v>
      </c>
      <c r="BE115" s="121">
        <v>6582.6</v>
      </c>
      <c r="BF115" s="121">
        <v>0</v>
      </c>
      <c r="BG115" s="121">
        <v>0</v>
      </c>
      <c r="BH115" s="121">
        <v>2677.25</v>
      </c>
      <c r="BI115" s="121">
        <v>0</v>
      </c>
      <c r="BJ115" s="121">
        <v>8918.52</v>
      </c>
      <c r="BK115" s="121">
        <v>1440.14</v>
      </c>
      <c r="BL115" s="121">
        <v>14416.62</v>
      </c>
      <c r="BM115" s="121">
        <v>0</v>
      </c>
      <c r="BN115" s="121">
        <v>3118.37</v>
      </c>
      <c r="BO115" s="121">
        <v>90299.21</v>
      </c>
      <c r="BP115" s="121">
        <v>0</v>
      </c>
      <c r="BQ115" s="121">
        <v>3730.25</v>
      </c>
      <c r="BR115" s="121">
        <v>6929.66</v>
      </c>
      <c r="BS115" s="121">
        <v>4895</v>
      </c>
      <c r="BT115" s="121">
        <v>0</v>
      </c>
      <c r="BU115" s="121">
        <v>2713.41</v>
      </c>
      <c r="BV115" s="121">
        <v>65553.47</v>
      </c>
      <c r="BW115" s="121">
        <v>0</v>
      </c>
      <c r="BX115" s="121">
        <v>30828.52</v>
      </c>
      <c r="BY115" s="121">
        <v>0</v>
      </c>
      <c r="BZ115" s="121">
        <v>0</v>
      </c>
      <c r="CA115" s="121">
        <v>24117.54</v>
      </c>
      <c r="CB115" s="121">
        <v>0</v>
      </c>
      <c r="CC115" s="121">
        <v>0</v>
      </c>
      <c r="CD115" s="121">
        <v>4384.75</v>
      </c>
      <c r="CE115" s="121">
        <v>0</v>
      </c>
      <c r="CF115" s="121">
        <v>24117.54</v>
      </c>
      <c r="CG115" s="121">
        <v>0</v>
      </c>
      <c r="CH115" s="121">
        <v>0</v>
      </c>
      <c r="CI115" s="121">
        <v>4384.75</v>
      </c>
      <c r="CJ115" s="121">
        <v>14363.98</v>
      </c>
      <c r="CK115" s="121">
        <v>0</v>
      </c>
      <c r="CL115" s="121">
        <v>17668.729999999981</v>
      </c>
      <c r="CM115" s="121"/>
      <c r="CN115" s="121">
        <v>0</v>
      </c>
      <c r="CO115" s="121">
        <v>0</v>
      </c>
      <c r="CP115" s="121">
        <v>0</v>
      </c>
      <c r="CQ115" s="121">
        <v>0</v>
      </c>
      <c r="CR115" s="118"/>
      <c r="CS115" s="33">
        <v>17668.729999999981</v>
      </c>
      <c r="CT115" s="33">
        <v>0</v>
      </c>
      <c r="CU115" s="65">
        <v>41786.269999999997</v>
      </c>
      <c r="CV115" s="65">
        <v>-24117.54</v>
      </c>
      <c r="CW115" s="65">
        <v>-24117.540000000015</v>
      </c>
      <c r="CX115" s="33">
        <v>-24117.54</v>
      </c>
      <c r="CY115" s="33">
        <v>17668.729999999996</v>
      </c>
      <c r="CZ115" s="66">
        <v>0</v>
      </c>
      <c r="DA115" s="33">
        <v>0</v>
      </c>
      <c r="DB115" s="33">
        <v>76384.250000000029</v>
      </c>
      <c r="DC115" s="33">
        <v>0</v>
      </c>
      <c r="DD115" s="65">
        <v>-24117.54</v>
      </c>
      <c r="DF115" s="33">
        <v>0</v>
      </c>
      <c r="DI115" s="33">
        <v>17668.729999999981</v>
      </c>
      <c r="DJ115" s="33">
        <v>0</v>
      </c>
      <c r="DK115" s="65">
        <v>41786.269999999997</v>
      </c>
      <c r="DL115" s="65">
        <v>-24117.54</v>
      </c>
      <c r="DQ115" s="115">
        <v>3301021</v>
      </c>
      <c r="DS115" s="33">
        <v>0</v>
      </c>
      <c r="DT115" s="33">
        <v>483875.98</v>
      </c>
      <c r="DU115" s="33">
        <v>554409.25</v>
      </c>
      <c r="DV115" s="33">
        <v>-70533.270000000019</v>
      </c>
      <c r="DW115" s="33">
        <v>28502.29</v>
      </c>
      <c r="DX115" s="33">
        <v>18748.73</v>
      </c>
      <c r="DY115" s="33">
        <v>9753.5600000000013</v>
      </c>
    </row>
    <row r="116" spans="2:129" x14ac:dyDescent="0.35">
      <c r="B116" s="87">
        <v>1024</v>
      </c>
      <c r="C116" s="115">
        <v>3301024</v>
      </c>
      <c r="D116" s="116" t="s">
        <v>349</v>
      </c>
      <c r="E116" s="116" t="s">
        <v>350</v>
      </c>
      <c r="F116" s="117"/>
      <c r="G116" s="118"/>
      <c r="H116" s="115"/>
      <c r="I116" s="115"/>
      <c r="J116" s="115"/>
      <c r="K116" s="115"/>
      <c r="L116" s="115"/>
      <c r="M116" s="115"/>
      <c r="N116" s="115"/>
      <c r="O116" s="115"/>
      <c r="P116" s="115"/>
      <c r="Q116" s="115"/>
      <c r="R116" s="115"/>
      <c r="S116" s="119"/>
      <c r="T116" s="119"/>
      <c r="U116" s="119"/>
      <c r="V116" s="119"/>
      <c r="W116" s="119"/>
      <c r="X116" s="119"/>
      <c r="Y116" s="120"/>
      <c r="Z116" s="120">
        <v>-449523.77</v>
      </c>
      <c r="AA116" s="120">
        <v>-22950.12</v>
      </c>
      <c r="AB116" s="121">
        <v>459605.95</v>
      </c>
      <c r="AC116" s="121">
        <v>0</v>
      </c>
      <c r="AD116" s="121">
        <v>3150.46</v>
      </c>
      <c r="AE116" s="121">
        <v>0</v>
      </c>
      <c r="AF116" s="121">
        <v>0</v>
      </c>
      <c r="AG116" s="121">
        <v>400</v>
      </c>
      <c r="AH116" s="121">
        <v>0</v>
      </c>
      <c r="AI116" s="121">
        <v>0</v>
      </c>
      <c r="AJ116" s="121">
        <v>0</v>
      </c>
      <c r="AK116" s="121">
        <v>0</v>
      </c>
      <c r="AL116" s="121">
        <v>0</v>
      </c>
      <c r="AM116" s="121">
        <v>0</v>
      </c>
      <c r="AN116" s="121">
        <v>20008.740000000002</v>
      </c>
      <c r="AO116" s="121">
        <v>0</v>
      </c>
      <c r="AP116" s="121">
        <v>0</v>
      </c>
      <c r="AQ116" s="121">
        <v>0</v>
      </c>
      <c r="AR116" s="121">
        <v>0</v>
      </c>
      <c r="AS116" s="121">
        <v>0</v>
      </c>
      <c r="AT116" s="121">
        <v>0</v>
      </c>
      <c r="AU116" s="121">
        <v>0</v>
      </c>
      <c r="AV116" s="121">
        <v>0</v>
      </c>
      <c r="AW116" s="121">
        <v>142653.75999999998</v>
      </c>
      <c r="AX116" s="121">
        <v>0</v>
      </c>
      <c r="AY116" s="121">
        <v>119652.13</v>
      </c>
      <c r="AZ116" s="121">
        <v>0</v>
      </c>
      <c r="BA116" s="121">
        <v>135726.79999999999</v>
      </c>
      <c r="BB116" s="121">
        <v>7771.06</v>
      </c>
      <c r="BC116" s="121">
        <v>1516.08</v>
      </c>
      <c r="BD116" s="121">
        <v>2209.75</v>
      </c>
      <c r="BE116" s="121">
        <v>3080</v>
      </c>
      <c r="BF116" s="121">
        <v>0</v>
      </c>
      <c r="BG116" s="121">
        <v>0</v>
      </c>
      <c r="BH116" s="121">
        <v>22720.85</v>
      </c>
      <c r="BI116" s="121">
        <v>412.09</v>
      </c>
      <c r="BJ116" s="121">
        <v>3381.43</v>
      </c>
      <c r="BK116" s="121">
        <v>2963.73</v>
      </c>
      <c r="BL116" s="121">
        <v>34206.120000000003</v>
      </c>
      <c r="BM116" s="121">
        <v>0</v>
      </c>
      <c r="BN116" s="121">
        <v>2469.7399999999998</v>
      </c>
      <c r="BO116" s="121">
        <v>6501.68</v>
      </c>
      <c r="BP116" s="121">
        <v>0</v>
      </c>
      <c r="BQ116" s="121">
        <v>613.02</v>
      </c>
      <c r="BR116" s="121">
        <v>13361.15</v>
      </c>
      <c r="BS116" s="121">
        <v>4895</v>
      </c>
      <c r="BT116" s="121">
        <v>0</v>
      </c>
      <c r="BU116" s="121">
        <v>14686</v>
      </c>
      <c r="BV116" s="121">
        <v>55199.82</v>
      </c>
      <c r="BW116" s="121">
        <v>0</v>
      </c>
      <c r="BX116" s="121">
        <v>56005.24</v>
      </c>
      <c r="BY116" s="121">
        <v>0</v>
      </c>
      <c r="BZ116" s="121">
        <v>0</v>
      </c>
      <c r="CA116" s="121">
        <v>22950.12</v>
      </c>
      <c r="CB116" s="121">
        <v>0</v>
      </c>
      <c r="CC116" s="121">
        <v>0</v>
      </c>
      <c r="CD116" s="121">
        <v>4776.25</v>
      </c>
      <c r="CE116" s="121">
        <v>0</v>
      </c>
      <c r="CF116" s="121">
        <v>22950.12</v>
      </c>
      <c r="CG116" s="121">
        <v>0</v>
      </c>
      <c r="CH116" s="121">
        <v>0</v>
      </c>
      <c r="CI116" s="121">
        <v>4776.25</v>
      </c>
      <c r="CJ116" s="121">
        <v>0</v>
      </c>
      <c r="CK116" s="121">
        <v>0</v>
      </c>
      <c r="CL116" s="121">
        <v>-619334.18999999994</v>
      </c>
      <c r="CM116" s="121"/>
      <c r="CN116" s="121">
        <v>0</v>
      </c>
      <c r="CO116" s="121">
        <v>0</v>
      </c>
      <c r="CP116" s="121">
        <v>0</v>
      </c>
      <c r="CQ116" s="121">
        <v>0</v>
      </c>
      <c r="CR116" s="118"/>
      <c r="CS116" s="33">
        <v>-619334.18999999994</v>
      </c>
      <c r="CT116" s="33">
        <v>0</v>
      </c>
      <c r="CU116" s="65">
        <v>-596384.06999999995</v>
      </c>
      <c r="CV116" s="65">
        <v>-22950.12</v>
      </c>
      <c r="CW116" s="65">
        <v>-22950.119999999995</v>
      </c>
      <c r="CX116" s="33">
        <v>-22950.12</v>
      </c>
      <c r="CY116" s="33">
        <v>-619334.18999999994</v>
      </c>
      <c r="CZ116" s="66">
        <v>0</v>
      </c>
      <c r="DA116" s="33">
        <v>0</v>
      </c>
      <c r="DB116" s="33">
        <v>0.22999999998137355</v>
      </c>
      <c r="DC116" s="33">
        <v>0</v>
      </c>
      <c r="DD116" s="65">
        <v>-22950.12</v>
      </c>
      <c r="DF116" s="33">
        <v>0</v>
      </c>
      <c r="DI116" s="33">
        <v>-619334.18999999994</v>
      </c>
      <c r="DJ116" s="33">
        <v>0</v>
      </c>
      <c r="DK116" s="65">
        <v>-596384.06999999995</v>
      </c>
      <c r="DL116" s="65">
        <v>-22950.12</v>
      </c>
      <c r="DQ116" s="115">
        <v>3301024</v>
      </c>
      <c r="DS116" s="33">
        <v>0</v>
      </c>
      <c r="DT116" s="33">
        <v>483165.15</v>
      </c>
      <c r="DU116" s="33">
        <v>652975.56999999995</v>
      </c>
      <c r="DV116" s="33">
        <v>-169810.41999999993</v>
      </c>
      <c r="DW116" s="33">
        <v>27726.37</v>
      </c>
      <c r="DX116" s="33">
        <v>4776.25</v>
      </c>
      <c r="DY116" s="33">
        <v>22950.12</v>
      </c>
    </row>
    <row r="117" spans="2:129" x14ac:dyDescent="0.35">
      <c r="B117" s="87">
        <v>1025</v>
      </c>
      <c r="C117" s="115">
        <v>3301025</v>
      </c>
      <c r="D117" s="116" t="s">
        <v>351</v>
      </c>
      <c r="E117" s="116" t="s">
        <v>352</v>
      </c>
      <c r="F117" s="117"/>
      <c r="G117" s="118"/>
      <c r="H117" s="115"/>
      <c r="I117" s="115"/>
      <c r="J117" s="115"/>
      <c r="K117" s="115"/>
      <c r="L117" s="115"/>
      <c r="M117" s="115"/>
      <c r="N117" s="115"/>
      <c r="O117" s="115"/>
      <c r="P117" s="115"/>
      <c r="Q117" s="115"/>
      <c r="R117" s="115"/>
      <c r="S117" s="119"/>
      <c r="T117" s="119"/>
      <c r="U117" s="119"/>
      <c r="V117" s="119"/>
      <c r="W117" s="119"/>
      <c r="X117" s="119"/>
      <c r="Y117" s="120">
        <v>142287.20000000001</v>
      </c>
      <c r="Z117" s="120"/>
      <c r="AA117" s="120">
        <v>-9934.08</v>
      </c>
      <c r="AB117" s="121">
        <v>609145.53</v>
      </c>
      <c r="AC117" s="121">
        <v>0</v>
      </c>
      <c r="AD117" s="121">
        <v>36493.75</v>
      </c>
      <c r="AE117" s="121">
        <v>0</v>
      </c>
      <c r="AF117" s="121">
        <v>0</v>
      </c>
      <c r="AG117" s="121">
        <v>0</v>
      </c>
      <c r="AH117" s="121">
        <v>0</v>
      </c>
      <c r="AI117" s="121">
        <v>0</v>
      </c>
      <c r="AJ117" s="121">
        <v>912243.03</v>
      </c>
      <c r="AK117" s="121">
        <v>0</v>
      </c>
      <c r="AL117" s="121">
        <v>0</v>
      </c>
      <c r="AM117" s="121">
        <v>0</v>
      </c>
      <c r="AN117" s="121">
        <v>6609</v>
      </c>
      <c r="AO117" s="121">
        <v>0</v>
      </c>
      <c r="AP117" s="121">
        <v>0</v>
      </c>
      <c r="AQ117" s="121">
        <v>0</v>
      </c>
      <c r="AR117" s="121">
        <v>0</v>
      </c>
      <c r="AS117" s="121">
        <v>0</v>
      </c>
      <c r="AT117" s="121">
        <v>0</v>
      </c>
      <c r="AU117" s="121">
        <v>0</v>
      </c>
      <c r="AV117" s="121">
        <v>0</v>
      </c>
      <c r="AW117" s="121">
        <v>265393.88</v>
      </c>
      <c r="AX117" s="121">
        <v>0</v>
      </c>
      <c r="AY117" s="121">
        <v>120721.23</v>
      </c>
      <c r="AZ117" s="121">
        <v>22761.09</v>
      </c>
      <c r="BA117" s="121">
        <v>187279.9</v>
      </c>
      <c r="BB117" s="121">
        <v>11292.78</v>
      </c>
      <c r="BC117" s="121">
        <v>0</v>
      </c>
      <c r="BD117" s="121">
        <v>17.88</v>
      </c>
      <c r="BE117" s="121">
        <v>112.5</v>
      </c>
      <c r="BF117" s="121">
        <v>0</v>
      </c>
      <c r="BG117" s="121">
        <v>0</v>
      </c>
      <c r="BH117" s="121">
        <v>860.53</v>
      </c>
      <c r="BI117" s="121">
        <v>200</v>
      </c>
      <c r="BJ117" s="121">
        <v>619.91999999999996</v>
      </c>
      <c r="BK117" s="121">
        <v>2208.13</v>
      </c>
      <c r="BL117" s="121">
        <v>19203.849999999999</v>
      </c>
      <c r="BM117" s="121">
        <v>0</v>
      </c>
      <c r="BN117" s="121">
        <v>8193.4599999999991</v>
      </c>
      <c r="BO117" s="121">
        <v>163316.18</v>
      </c>
      <c r="BP117" s="121">
        <v>29.99</v>
      </c>
      <c r="BQ117" s="121">
        <v>2287.5</v>
      </c>
      <c r="BR117" s="121">
        <v>176857.87</v>
      </c>
      <c r="BS117" s="121">
        <v>3135</v>
      </c>
      <c r="BT117" s="121">
        <v>888</v>
      </c>
      <c r="BU117" s="121">
        <v>6997.22</v>
      </c>
      <c r="BV117" s="121">
        <v>0</v>
      </c>
      <c r="BW117" s="121">
        <v>1255</v>
      </c>
      <c r="BX117" s="121">
        <v>382596.01</v>
      </c>
      <c r="BY117" s="121">
        <v>0</v>
      </c>
      <c r="BZ117" s="121">
        <v>0</v>
      </c>
      <c r="CA117" s="121">
        <v>10422.33</v>
      </c>
      <c r="CB117" s="121">
        <v>0</v>
      </c>
      <c r="CC117" s="121">
        <v>0</v>
      </c>
      <c r="CD117" s="121">
        <v>4769.5</v>
      </c>
      <c r="CE117" s="121">
        <v>0</v>
      </c>
      <c r="CF117" s="121">
        <v>10422.33</v>
      </c>
      <c r="CG117" s="121">
        <v>0</v>
      </c>
      <c r="CH117" s="121">
        <v>0</v>
      </c>
      <c r="CI117" s="121">
        <v>4769.5</v>
      </c>
      <c r="CJ117" s="121">
        <v>488.25</v>
      </c>
      <c r="CK117" s="121">
        <v>0</v>
      </c>
      <c r="CL117" s="121">
        <v>320128.26000000007</v>
      </c>
      <c r="CM117" s="121"/>
      <c r="CN117" s="121">
        <v>0</v>
      </c>
      <c r="CO117" s="121">
        <v>0</v>
      </c>
      <c r="CP117" s="121">
        <v>0</v>
      </c>
      <c r="CQ117" s="121">
        <v>0</v>
      </c>
      <c r="CR117" s="118"/>
      <c r="CS117" s="33">
        <v>320128.26000000007</v>
      </c>
      <c r="CT117" s="33">
        <v>0</v>
      </c>
      <c r="CU117" s="65">
        <v>330550.59000000003</v>
      </c>
      <c r="CV117" s="65">
        <v>-10422.33</v>
      </c>
      <c r="CW117" s="65">
        <v>-10422.329999999958</v>
      </c>
      <c r="CX117" s="33">
        <v>-10422.33</v>
      </c>
      <c r="CY117" s="33">
        <v>320128.26</v>
      </c>
      <c r="CZ117" s="66">
        <v>0</v>
      </c>
      <c r="DA117" s="33">
        <v>0</v>
      </c>
      <c r="DB117" s="33">
        <v>0</v>
      </c>
      <c r="DC117" s="33">
        <v>0</v>
      </c>
      <c r="DD117" s="65">
        <v>-10422.33</v>
      </c>
      <c r="DF117" s="33">
        <v>4.1836756281554699E-11</v>
      </c>
      <c r="DI117" s="33">
        <v>320128.26000000007</v>
      </c>
      <c r="DJ117" s="33">
        <v>0</v>
      </c>
      <c r="DK117" s="65">
        <v>330550.59000000003</v>
      </c>
      <c r="DL117" s="65">
        <v>-10422.33</v>
      </c>
      <c r="DQ117" s="115">
        <v>3301025</v>
      </c>
      <c r="DS117" s="33">
        <v>0</v>
      </c>
      <c r="DT117" s="33">
        <v>1564491.31</v>
      </c>
      <c r="DU117" s="33">
        <v>1386650.25</v>
      </c>
      <c r="DV117" s="33">
        <v>177841.06000000006</v>
      </c>
      <c r="DW117" s="33">
        <v>15191.83</v>
      </c>
      <c r="DX117" s="33">
        <v>5257.75</v>
      </c>
      <c r="DY117" s="33">
        <v>9934.08</v>
      </c>
    </row>
    <row r="118" spans="2:129" x14ac:dyDescent="0.35">
      <c r="B118" s="87">
        <v>1027</v>
      </c>
      <c r="C118" s="115">
        <v>3301027</v>
      </c>
      <c r="D118" s="116" t="s">
        <v>353</v>
      </c>
      <c r="E118" s="116" t="s">
        <v>354</v>
      </c>
      <c r="F118" s="117"/>
      <c r="G118" s="118"/>
      <c r="H118" s="115"/>
      <c r="I118" s="115"/>
      <c r="J118" s="115"/>
      <c r="K118" s="115"/>
      <c r="L118" s="115"/>
      <c r="M118" s="115"/>
      <c r="N118" s="115"/>
      <c r="O118" s="115"/>
      <c r="P118" s="115"/>
      <c r="Q118" s="115"/>
      <c r="R118" s="115"/>
      <c r="S118" s="119"/>
      <c r="T118" s="119"/>
      <c r="U118" s="119"/>
      <c r="V118" s="119"/>
      <c r="W118" s="119"/>
      <c r="X118" s="119"/>
      <c r="Y118" s="120">
        <v>1880</v>
      </c>
      <c r="Z118" s="120"/>
      <c r="AA118" s="120">
        <v>-9978.7000000000007</v>
      </c>
      <c r="AB118" s="121">
        <v>635806.42000000004</v>
      </c>
      <c r="AC118" s="121">
        <v>0</v>
      </c>
      <c r="AD118" s="121">
        <v>29883.75</v>
      </c>
      <c r="AE118" s="121">
        <v>0</v>
      </c>
      <c r="AF118" s="121">
        <v>0</v>
      </c>
      <c r="AG118" s="121">
        <v>0</v>
      </c>
      <c r="AH118" s="121">
        <v>0</v>
      </c>
      <c r="AI118" s="121">
        <v>0</v>
      </c>
      <c r="AJ118" s="121">
        <v>262962.99</v>
      </c>
      <c r="AK118" s="121">
        <v>0</v>
      </c>
      <c r="AL118" s="121">
        <v>0</v>
      </c>
      <c r="AM118" s="121">
        <v>0</v>
      </c>
      <c r="AN118" s="121">
        <v>5489.75</v>
      </c>
      <c r="AO118" s="121">
        <v>580</v>
      </c>
      <c r="AP118" s="121">
        <v>0</v>
      </c>
      <c r="AQ118" s="121">
        <v>0</v>
      </c>
      <c r="AR118" s="121">
        <v>0</v>
      </c>
      <c r="AS118" s="121">
        <v>0</v>
      </c>
      <c r="AT118" s="121">
        <v>0</v>
      </c>
      <c r="AU118" s="121">
        <v>0</v>
      </c>
      <c r="AV118" s="121">
        <v>0</v>
      </c>
      <c r="AW118" s="121">
        <v>171027.45</v>
      </c>
      <c r="AX118" s="121">
        <v>0</v>
      </c>
      <c r="AY118" s="121">
        <v>260378.41</v>
      </c>
      <c r="AZ118" s="121">
        <v>0</v>
      </c>
      <c r="BA118" s="121">
        <v>30289.200000000001</v>
      </c>
      <c r="BB118" s="121">
        <v>0</v>
      </c>
      <c r="BC118" s="121">
        <v>1794.36</v>
      </c>
      <c r="BD118" s="121">
        <v>11492.09</v>
      </c>
      <c r="BE118" s="121">
        <v>290</v>
      </c>
      <c r="BF118" s="121">
        <v>0</v>
      </c>
      <c r="BG118" s="121">
        <v>0</v>
      </c>
      <c r="BH118" s="121">
        <v>25396.79</v>
      </c>
      <c r="BI118" s="121">
        <v>946</v>
      </c>
      <c r="BJ118" s="121">
        <v>23293.96</v>
      </c>
      <c r="BK118" s="121">
        <v>2748.73</v>
      </c>
      <c r="BL118" s="121">
        <v>21729.77</v>
      </c>
      <c r="BM118" s="121">
        <v>0</v>
      </c>
      <c r="BN118" s="121">
        <v>9737.49</v>
      </c>
      <c r="BO118" s="121">
        <v>6749.01</v>
      </c>
      <c r="BP118" s="121">
        <v>1998.8</v>
      </c>
      <c r="BQ118" s="121">
        <v>108.18</v>
      </c>
      <c r="BR118" s="121">
        <v>8854.7999999999993</v>
      </c>
      <c r="BS118" s="121">
        <v>3135</v>
      </c>
      <c r="BT118" s="121">
        <v>0</v>
      </c>
      <c r="BU118" s="121">
        <v>7070.58</v>
      </c>
      <c r="BV118" s="121">
        <v>39995.32</v>
      </c>
      <c r="BW118" s="121">
        <v>1500</v>
      </c>
      <c r="BX118" s="121">
        <v>11594.96</v>
      </c>
      <c r="BY118" s="121">
        <v>0</v>
      </c>
      <c r="BZ118" s="121">
        <v>0</v>
      </c>
      <c r="CA118" s="121">
        <v>188.34</v>
      </c>
      <c r="CB118" s="121">
        <v>0</v>
      </c>
      <c r="CC118" s="121">
        <v>0</v>
      </c>
      <c r="CD118" s="121">
        <v>4897.75</v>
      </c>
      <c r="CE118" s="121">
        <v>11540.61</v>
      </c>
      <c r="CF118" s="121">
        <v>188.34</v>
      </c>
      <c r="CG118" s="121">
        <v>0</v>
      </c>
      <c r="CH118" s="121">
        <v>0</v>
      </c>
      <c r="CI118" s="121">
        <v>0</v>
      </c>
      <c r="CJ118" s="121">
        <v>6648</v>
      </c>
      <c r="CK118" s="121"/>
      <c r="CL118" s="121">
        <v>296283.67000000004</v>
      </c>
      <c r="CM118" s="121"/>
      <c r="CN118" s="121">
        <v>0</v>
      </c>
      <c r="CO118" s="121">
        <v>0</v>
      </c>
      <c r="CP118" s="121">
        <v>0</v>
      </c>
      <c r="CQ118" s="121">
        <v>0</v>
      </c>
      <c r="CR118" s="118"/>
      <c r="CS118" s="33">
        <v>296283.67000000004</v>
      </c>
      <c r="CT118" s="33">
        <v>0</v>
      </c>
      <c r="CU118" s="65">
        <v>296472.01</v>
      </c>
      <c r="CV118" s="65">
        <v>-188.34</v>
      </c>
      <c r="CW118" s="65">
        <v>-188.3399999999674</v>
      </c>
      <c r="CX118" s="33">
        <v>-188.34</v>
      </c>
      <c r="CY118" s="33">
        <v>296283.67</v>
      </c>
      <c r="CZ118" s="66">
        <v>11540.61</v>
      </c>
      <c r="DA118" s="33">
        <v>11540.61</v>
      </c>
      <c r="DB118" s="33">
        <v>4301.9000000000233</v>
      </c>
      <c r="DC118" s="33">
        <v>0</v>
      </c>
      <c r="DD118" s="65">
        <v>-188.34</v>
      </c>
      <c r="DF118" s="33">
        <v>3.2599700716673397E-11</v>
      </c>
      <c r="DI118" s="33">
        <v>296283.67000000004</v>
      </c>
      <c r="DJ118" s="33">
        <v>0</v>
      </c>
      <c r="DK118" s="65">
        <v>296472.01</v>
      </c>
      <c r="DL118" s="65">
        <v>-188.34</v>
      </c>
      <c r="DQ118" s="115">
        <v>3301027</v>
      </c>
      <c r="DS118" s="33">
        <v>0</v>
      </c>
      <c r="DT118" s="33">
        <v>934722.91</v>
      </c>
      <c r="DU118" s="33">
        <v>640319.24</v>
      </c>
      <c r="DV118" s="33">
        <v>294403.67000000004</v>
      </c>
      <c r="DW118" s="33">
        <v>16626.7</v>
      </c>
      <c r="DX118" s="33">
        <v>6648</v>
      </c>
      <c r="DY118" s="33">
        <v>9978.7000000000007</v>
      </c>
    </row>
    <row r="119" spans="2:129" x14ac:dyDescent="0.35">
      <c r="B119" s="87">
        <v>1028</v>
      </c>
      <c r="C119" s="115">
        <v>3301028</v>
      </c>
      <c r="D119" s="116" t="s">
        <v>355</v>
      </c>
      <c r="E119" s="116" t="s">
        <v>356</v>
      </c>
      <c r="F119" s="117"/>
      <c r="G119" s="118"/>
      <c r="H119" s="115"/>
      <c r="I119" s="115"/>
      <c r="J119" s="115"/>
      <c r="K119" s="115"/>
      <c r="L119" s="115"/>
      <c r="M119" s="115"/>
      <c r="N119" s="115"/>
      <c r="O119" s="115"/>
      <c r="P119" s="115"/>
      <c r="Q119" s="115"/>
      <c r="R119" s="115"/>
      <c r="S119" s="119"/>
      <c r="T119" s="119"/>
      <c r="U119" s="119"/>
      <c r="V119" s="119"/>
      <c r="W119" s="119"/>
      <c r="X119" s="119"/>
      <c r="Y119" s="120"/>
      <c r="Z119" s="120">
        <v>-121271.95</v>
      </c>
      <c r="AA119" s="120">
        <v>-23523.56</v>
      </c>
      <c r="AB119" s="121">
        <v>495660.95</v>
      </c>
      <c r="AC119" s="121">
        <v>0</v>
      </c>
      <c r="AD119" s="121">
        <v>0</v>
      </c>
      <c r="AE119" s="121">
        <v>0</v>
      </c>
      <c r="AF119" s="121">
        <v>0</v>
      </c>
      <c r="AG119" s="121">
        <v>0</v>
      </c>
      <c r="AH119" s="121">
        <v>0</v>
      </c>
      <c r="AI119" s="121">
        <v>0</v>
      </c>
      <c r="AJ119" s="121">
        <v>146622.16999999998</v>
      </c>
      <c r="AK119" s="121">
        <v>0</v>
      </c>
      <c r="AL119" s="121">
        <v>0</v>
      </c>
      <c r="AM119" s="121">
        <v>0</v>
      </c>
      <c r="AN119" s="121">
        <v>30</v>
      </c>
      <c r="AO119" s="121">
        <v>0</v>
      </c>
      <c r="AP119" s="121">
        <v>0</v>
      </c>
      <c r="AQ119" s="121">
        <v>0</v>
      </c>
      <c r="AR119" s="121">
        <v>0</v>
      </c>
      <c r="AS119" s="121">
        <v>0</v>
      </c>
      <c r="AT119" s="121">
        <v>0</v>
      </c>
      <c r="AU119" s="121">
        <v>0</v>
      </c>
      <c r="AV119" s="121">
        <v>0</v>
      </c>
      <c r="AW119" s="121">
        <v>86187.49</v>
      </c>
      <c r="AX119" s="121">
        <v>0</v>
      </c>
      <c r="AY119" s="121">
        <v>186679.69</v>
      </c>
      <c r="AZ119" s="121">
        <v>0</v>
      </c>
      <c r="BA119" s="121">
        <v>98286.44</v>
      </c>
      <c r="BB119" s="121">
        <v>0</v>
      </c>
      <c r="BC119" s="121">
        <v>11972.01</v>
      </c>
      <c r="BD119" s="121">
        <v>10654.73</v>
      </c>
      <c r="BE119" s="121">
        <v>1114.78</v>
      </c>
      <c r="BF119" s="121">
        <v>0</v>
      </c>
      <c r="BG119" s="121">
        <v>0</v>
      </c>
      <c r="BH119" s="121">
        <v>18321.34</v>
      </c>
      <c r="BI119" s="121">
        <v>818</v>
      </c>
      <c r="BJ119" s="121">
        <v>13923.3</v>
      </c>
      <c r="BK119" s="121">
        <v>1681.04</v>
      </c>
      <c r="BL119" s="121">
        <v>14773.87</v>
      </c>
      <c r="BM119" s="121">
        <v>0</v>
      </c>
      <c r="BN119" s="121">
        <v>14655.22</v>
      </c>
      <c r="BO119" s="121">
        <v>18953.150000000001</v>
      </c>
      <c r="BP119" s="121">
        <v>0</v>
      </c>
      <c r="BQ119" s="121">
        <v>288.48</v>
      </c>
      <c r="BR119" s="121">
        <v>15248.1</v>
      </c>
      <c r="BS119" s="121">
        <v>4895</v>
      </c>
      <c r="BT119" s="121">
        <v>0</v>
      </c>
      <c r="BU119" s="121">
        <v>3921.71</v>
      </c>
      <c r="BV119" s="121">
        <v>18230.95</v>
      </c>
      <c r="BW119" s="121">
        <v>120</v>
      </c>
      <c r="BX119" s="121">
        <v>59705.23</v>
      </c>
      <c r="BY119" s="121">
        <v>0</v>
      </c>
      <c r="BZ119" s="121">
        <v>0</v>
      </c>
      <c r="CA119" s="121">
        <v>23523.56</v>
      </c>
      <c r="CB119" s="121">
        <v>0</v>
      </c>
      <c r="CC119" s="121">
        <v>0</v>
      </c>
      <c r="CD119" s="121">
        <v>4803.25</v>
      </c>
      <c r="CE119" s="121">
        <v>0</v>
      </c>
      <c r="CF119" s="121">
        <v>23523.56</v>
      </c>
      <c r="CG119" s="121">
        <v>0</v>
      </c>
      <c r="CH119" s="121">
        <v>0</v>
      </c>
      <c r="CI119" s="121">
        <v>4803.25</v>
      </c>
      <c r="CJ119" s="121">
        <v>0</v>
      </c>
      <c r="CK119" s="121">
        <v>0</v>
      </c>
      <c r="CL119" s="121">
        <v>-82912.920000000086</v>
      </c>
      <c r="CM119" s="121"/>
      <c r="CN119" s="121">
        <v>0</v>
      </c>
      <c r="CO119" s="121">
        <v>0</v>
      </c>
      <c r="CP119" s="121">
        <v>0</v>
      </c>
      <c r="CQ119" s="121">
        <v>0</v>
      </c>
      <c r="CR119" s="118"/>
      <c r="CS119" s="33">
        <v>-82912.920000000086</v>
      </c>
      <c r="CT119" s="33">
        <v>0</v>
      </c>
      <c r="CU119" s="65">
        <v>-59389.36</v>
      </c>
      <c r="CV119" s="65">
        <v>-23523.56</v>
      </c>
      <c r="CW119" s="65">
        <v>-23523.560000000085</v>
      </c>
      <c r="CX119" s="33">
        <v>-23523.56</v>
      </c>
      <c r="CY119" s="33">
        <v>-82912.92</v>
      </c>
      <c r="CZ119" s="66">
        <v>0</v>
      </c>
      <c r="DA119" s="33">
        <v>0</v>
      </c>
      <c r="DB119" s="33">
        <v>14028.050000000017</v>
      </c>
      <c r="DC119" s="33">
        <v>0</v>
      </c>
      <c r="DD119" s="65">
        <v>-23523.56</v>
      </c>
      <c r="DF119" s="33">
        <v>-8.3673512563109398E-11</v>
      </c>
      <c r="DI119" s="33">
        <v>-82912.920000000086</v>
      </c>
      <c r="DJ119" s="33">
        <v>0</v>
      </c>
      <c r="DK119" s="65">
        <v>-59389.36</v>
      </c>
      <c r="DL119" s="65">
        <v>-23523.56</v>
      </c>
      <c r="DQ119" s="115">
        <v>3301028</v>
      </c>
      <c r="DS119" s="33">
        <v>0</v>
      </c>
      <c r="DT119" s="33">
        <v>642313.12</v>
      </c>
      <c r="DU119" s="33">
        <v>603954.09000000008</v>
      </c>
      <c r="DV119" s="33">
        <v>38359.029999999912</v>
      </c>
      <c r="DW119" s="33">
        <v>28326.81</v>
      </c>
      <c r="DX119" s="33">
        <v>4803.25</v>
      </c>
      <c r="DY119" s="33">
        <v>23523.56</v>
      </c>
    </row>
    <row r="120" spans="2:129" x14ac:dyDescent="0.35">
      <c r="B120" s="87">
        <v>1038</v>
      </c>
      <c r="C120" s="115">
        <v>3301038</v>
      </c>
      <c r="D120" s="116" t="s">
        <v>357</v>
      </c>
      <c r="E120" s="116" t="s">
        <v>358</v>
      </c>
      <c r="F120" s="117"/>
      <c r="G120" s="118"/>
      <c r="H120" s="115"/>
      <c r="I120" s="115"/>
      <c r="J120" s="115"/>
      <c r="K120" s="115"/>
      <c r="L120" s="115"/>
      <c r="M120" s="115"/>
      <c r="N120" s="115"/>
      <c r="O120" s="115"/>
      <c r="P120" s="115"/>
      <c r="Q120" s="115"/>
      <c r="R120" s="115"/>
      <c r="S120" s="119"/>
      <c r="T120" s="119"/>
      <c r="U120" s="119"/>
      <c r="V120" s="119"/>
      <c r="W120" s="119"/>
      <c r="X120" s="119"/>
      <c r="Y120" s="120">
        <v>192225</v>
      </c>
      <c r="Z120" s="120"/>
      <c r="AA120" s="120">
        <v>29051.06</v>
      </c>
      <c r="AB120" s="121">
        <v>735640</v>
      </c>
      <c r="AC120" s="121">
        <v>0</v>
      </c>
      <c r="AD120" s="121">
        <v>64719.79</v>
      </c>
      <c r="AE120" s="121">
        <v>0</v>
      </c>
      <c r="AF120" s="121">
        <v>0</v>
      </c>
      <c r="AG120" s="121">
        <v>856.93</v>
      </c>
      <c r="AH120" s="121">
        <v>0</v>
      </c>
      <c r="AI120" s="121">
        <v>0</v>
      </c>
      <c r="AJ120" s="121">
        <v>300711.42</v>
      </c>
      <c r="AK120" s="121">
        <v>15368.8</v>
      </c>
      <c r="AL120" s="121">
        <v>0</v>
      </c>
      <c r="AM120" s="121">
        <v>0</v>
      </c>
      <c r="AN120" s="121">
        <v>0</v>
      </c>
      <c r="AO120" s="121">
        <v>0</v>
      </c>
      <c r="AP120" s="121">
        <v>0</v>
      </c>
      <c r="AQ120" s="121">
        <v>0</v>
      </c>
      <c r="AR120" s="121">
        <v>0</v>
      </c>
      <c r="AS120" s="121">
        <v>0</v>
      </c>
      <c r="AT120" s="121">
        <v>0</v>
      </c>
      <c r="AU120" s="121">
        <v>0</v>
      </c>
      <c r="AV120" s="121">
        <v>0</v>
      </c>
      <c r="AW120" s="121">
        <v>263148</v>
      </c>
      <c r="AX120" s="121">
        <v>0</v>
      </c>
      <c r="AY120" s="121">
        <v>439808.53</v>
      </c>
      <c r="AZ120" s="121">
        <v>36867.949999999997</v>
      </c>
      <c r="BA120" s="121">
        <v>49795.13</v>
      </c>
      <c r="BB120" s="121">
        <v>0</v>
      </c>
      <c r="BC120" s="121">
        <v>84718.34</v>
      </c>
      <c r="BD120" s="121">
        <v>154.41999999999999</v>
      </c>
      <c r="BE120" s="121">
        <v>1069</v>
      </c>
      <c r="BF120" s="121">
        <v>0</v>
      </c>
      <c r="BG120" s="121">
        <v>0</v>
      </c>
      <c r="BH120" s="121">
        <v>15965.27</v>
      </c>
      <c r="BI120" s="121">
        <v>75.75</v>
      </c>
      <c r="BJ120" s="121">
        <v>26332.78</v>
      </c>
      <c r="BK120" s="121">
        <v>287.64999999999998</v>
      </c>
      <c r="BL120" s="121">
        <v>20346.43</v>
      </c>
      <c r="BM120" s="121">
        <v>0</v>
      </c>
      <c r="BN120" s="121">
        <v>5025.5600000000004</v>
      </c>
      <c r="BO120" s="121">
        <v>17781.479999999825</v>
      </c>
      <c r="BP120" s="121">
        <v>8015.43</v>
      </c>
      <c r="BQ120" s="121">
        <v>0</v>
      </c>
      <c r="BR120" s="121">
        <v>21737.91</v>
      </c>
      <c r="BS120" s="121">
        <v>4895</v>
      </c>
      <c r="BT120" s="121">
        <v>0</v>
      </c>
      <c r="BU120" s="121">
        <v>33507.68</v>
      </c>
      <c r="BV120" s="121">
        <v>162433.01999999999</v>
      </c>
      <c r="BW120" s="121">
        <v>0</v>
      </c>
      <c r="BX120" s="121">
        <v>69532.800000000003</v>
      </c>
      <c r="BY120" s="121">
        <v>0</v>
      </c>
      <c r="BZ120" s="121">
        <v>0</v>
      </c>
      <c r="CA120" s="121">
        <v>0</v>
      </c>
      <c r="CB120" s="121">
        <v>0</v>
      </c>
      <c r="CC120" s="121">
        <v>0</v>
      </c>
      <c r="CD120" s="121">
        <v>5166.3999999999996</v>
      </c>
      <c r="CE120" s="121">
        <v>12070.190000000002</v>
      </c>
      <c r="CF120" s="121">
        <v>0</v>
      </c>
      <c r="CG120" s="121">
        <v>0</v>
      </c>
      <c r="CH120" s="121">
        <v>0</v>
      </c>
      <c r="CI120" s="121">
        <v>0</v>
      </c>
      <c r="CJ120" s="121">
        <v>30797.74</v>
      </c>
      <c r="CK120" s="121"/>
      <c r="CL120" s="121">
        <v>48023.810000000056</v>
      </c>
      <c r="CM120" s="121"/>
      <c r="CN120" s="121">
        <v>15489.910000000003</v>
      </c>
      <c r="CO120" s="121">
        <v>0</v>
      </c>
      <c r="CP120" s="121">
        <v>0</v>
      </c>
      <c r="CQ120" s="121">
        <v>0</v>
      </c>
      <c r="CR120" s="118"/>
      <c r="CS120" s="33">
        <v>48023.810000000056</v>
      </c>
      <c r="CT120" s="33">
        <v>15489.910000000003</v>
      </c>
      <c r="CU120" s="65">
        <v>48023.81</v>
      </c>
      <c r="CV120" s="65">
        <v>15489.91</v>
      </c>
      <c r="CW120" s="65">
        <v>5.8207660913467407E-11</v>
      </c>
      <c r="CX120" s="33">
        <v>0</v>
      </c>
      <c r="CY120" s="33">
        <v>63513.72</v>
      </c>
      <c r="CZ120" s="66">
        <v>12070.190000000002</v>
      </c>
      <c r="DA120" s="33">
        <v>12070.190000000002</v>
      </c>
      <c r="DB120" s="33">
        <v>0</v>
      </c>
      <c r="DC120" s="33">
        <v>-1.7462298274040222E-10</v>
      </c>
      <c r="DF120" s="33">
        <v>6.184563972055912E-11</v>
      </c>
      <c r="DI120" s="33">
        <v>48023.810000000056</v>
      </c>
      <c r="DJ120" s="33">
        <v>15489.910000000003</v>
      </c>
      <c r="DK120" s="65">
        <v>48023.81</v>
      </c>
      <c r="DL120" s="65">
        <v>15489.91</v>
      </c>
      <c r="DQ120" s="115">
        <v>3301038</v>
      </c>
      <c r="DS120" s="33">
        <v>0</v>
      </c>
      <c r="DT120" s="33">
        <v>1117296.9400000002</v>
      </c>
      <c r="DU120" s="33">
        <v>1261498.1300000001</v>
      </c>
      <c r="DV120" s="33">
        <v>-144201.18999999994</v>
      </c>
      <c r="DW120" s="33">
        <v>17236.590000000004</v>
      </c>
      <c r="DX120" s="33">
        <v>30797.74</v>
      </c>
      <c r="DY120" s="33">
        <v>-13561.149999999998</v>
      </c>
    </row>
    <row r="121" spans="2:129" x14ac:dyDescent="0.35">
      <c r="B121" s="87">
        <v>1802</v>
      </c>
      <c r="C121" s="115">
        <v>3301802</v>
      </c>
      <c r="D121" s="116" t="s">
        <v>359</v>
      </c>
      <c r="E121" s="116" t="s">
        <v>360</v>
      </c>
      <c r="F121" s="117"/>
      <c r="G121" s="118"/>
      <c r="H121" s="115"/>
      <c r="I121" s="115"/>
      <c r="J121" s="115"/>
      <c r="K121" s="115"/>
      <c r="L121" s="115"/>
      <c r="M121" s="115"/>
      <c r="N121" s="115"/>
      <c r="O121" s="115"/>
      <c r="P121" s="115"/>
      <c r="Q121" s="115"/>
      <c r="R121" s="115"/>
      <c r="S121" s="119"/>
      <c r="T121" s="119"/>
      <c r="U121" s="119"/>
      <c r="V121" s="119"/>
      <c r="W121" s="119"/>
      <c r="X121" s="119"/>
      <c r="Y121" s="120"/>
      <c r="Z121" s="120">
        <v>-43182.41</v>
      </c>
      <c r="AA121" s="120">
        <v>-13772.69</v>
      </c>
      <c r="AB121" s="121">
        <v>435780.15</v>
      </c>
      <c r="AC121" s="121">
        <v>0</v>
      </c>
      <c r="AD121" s="121">
        <v>6383.75</v>
      </c>
      <c r="AE121" s="121">
        <v>0</v>
      </c>
      <c r="AF121" s="121">
        <v>0</v>
      </c>
      <c r="AG121" s="121">
        <v>0</v>
      </c>
      <c r="AH121" s="121">
        <v>0</v>
      </c>
      <c r="AI121" s="121">
        <v>0</v>
      </c>
      <c r="AJ121" s="121">
        <v>69627.61</v>
      </c>
      <c r="AK121" s="121">
        <v>0</v>
      </c>
      <c r="AL121" s="121">
        <v>0</v>
      </c>
      <c r="AM121" s="121">
        <v>0</v>
      </c>
      <c r="AN121" s="121">
        <v>17733.86</v>
      </c>
      <c r="AO121" s="121">
        <v>0</v>
      </c>
      <c r="AP121" s="121">
        <v>0</v>
      </c>
      <c r="AQ121" s="121">
        <v>0</v>
      </c>
      <c r="AR121" s="121">
        <v>0</v>
      </c>
      <c r="AS121" s="121">
        <v>0</v>
      </c>
      <c r="AT121" s="121">
        <v>0</v>
      </c>
      <c r="AU121" s="121">
        <v>0</v>
      </c>
      <c r="AV121" s="121">
        <v>0</v>
      </c>
      <c r="AW121" s="121">
        <v>127173.17</v>
      </c>
      <c r="AX121" s="121">
        <v>0</v>
      </c>
      <c r="AY121" s="121">
        <v>75236.88</v>
      </c>
      <c r="AZ121" s="121">
        <v>0</v>
      </c>
      <c r="BA121" s="121">
        <v>142050.62</v>
      </c>
      <c r="BB121" s="121">
        <v>0</v>
      </c>
      <c r="BC121" s="121">
        <v>47180.92</v>
      </c>
      <c r="BD121" s="121">
        <v>0</v>
      </c>
      <c r="BE121" s="121">
        <v>0</v>
      </c>
      <c r="BF121" s="121">
        <v>0</v>
      </c>
      <c r="BG121" s="121">
        <v>0</v>
      </c>
      <c r="BH121" s="121">
        <v>74880.13</v>
      </c>
      <c r="BI121" s="121">
        <v>1275.47</v>
      </c>
      <c r="BJ121" s="121">
        <v>3918.37</v>
      </c>
      <c r="BK121" s="121">
        <v>349.63</v>
      </c>
      <c r="BL121" s="121">
        <v>12071.17</v>
      </c>
      <c r="BM121" s="121">
        <v>0</v>
      </c>
      <c r="BN121" s="121">
        <v>6049.87</v>
      </c>
      <c r="BO121" s="121">
        <v>16878.50000000012</v>
      </c>
      <c r="BP121" s="121">
        <v>1100</v>
      </c>
      <c r="BQ121" s="121">
        <v>0</v>
      </c>
      <c r="BR121" s="121">
        <v>14766.13</v>
      </c>
      <c r="BS121" s="121">
        <v>3135</v>
      </c>
      <c r="BT121" s="121">
        <v>0</v>
      </c>
      <c r="BU121" s="121">
        <v>2797.02</v>
      </c>
      <c r="BV121" s="121">
        <v>48344.49</v>
      </c>
      <c r="BW121" s="121">
        <v>0</v>
      </c>
      <c r="BX121" s="121">
        <v>28952.6</v>
      </c>
      <c r="BY121" s="121">
        <v>0</v>
      </c>
      <c r="BZ121" s="121">
        <v>0</v>
      </c>
      <c r="CA121" s="121">
        <v>7648.07</v>
      </c>
      <c r="CB121" s="121">
        <v>0</v>
      </c>
      <c r="CC121" s="121">
        <v>0</v>
      </c>
      <c r="CD121" s="121">
        <v>4725.63</v>
      </c>
      <c r="CE121" s="121">
        <v>10998.990000000002</v>
      </c>
      <c r="CF121" s="121">
        <v>7648.07</v>
      </c>
      <c r="CG121" s="121">
        <v>0</v>
      </c>
      <c r="CH121" s="121">
        <v>0</v>
      </c>
      <c r="CI121" s="121">
        <v>0</v>
      </c>
      <c r="CJ121" s="121">
        <v>9600</v>
      </c>
      <c r="CK121" s="121"/>
      <c r="CL121" s="121">
        <v>-127465.08000000005</v>
      </c>
      <c r="CM121" s="121"/>
      <c r="CN121" s="121">
        <v>0</v>
      </c>
      <c r="CO121" s="121">
        <v>0</v>
      </c>
      <c r="CP121" s="121">
        <v>0</v>
      </c>
      <c r="CQ121" s="121">
        <v>0</v>
      </c>
      <c r="CR121" s="118"/>
      <c r="CS121" s="33">
        <v>-127465.08000000005</v>
      </c>
      <c r="CT121" s="33">
        <v>0</v>
      </c>
      <c r="CU121" s="65">
        <v>-119817.01</v>
      </c>
      <c r="CV121" s="65">
        <v>-7648.07</v>
      </c>
      <c r="CW121" s="65">
        <v>-7648.0700000000506</v>
      </c>
      <c r="CX121" s="33">
        <v>-7648.07</v>
      </c>
      <c r="CY121" s="33">
        <v>-127465.07999999999</v>
      </c>
      <c r="CZ121" s="66">
        <v>10998.990000000002</v>
      </c>
      <c r="DA121" s="33">
        <v>10998.990000000002</v>
      </c>
      <c r="DB121" s="33">
        <v>0</v>
      </c>
      <c r="DC121" s="33">
        <v>-9.9999998783459887E-3</v>
      </c>
      <c r="DD121" s="65">
        <v>-7648.07</v>
      </c>
      <c r="DF121" s="33">
        <v>-5.0931703299283981E-11</v>
      </c>
      <c r="DI121" s="33">
        <v>-127465.08000000005</v>
      </c>
      <c r="DJ121" s="33">
        <v>0</v>
      </c>
      <c r="DK121" s="65">
        <v>-119817.01</v>
      </c>
      <c r="DL121" s="65">
        <v>-7648.07</v>
      </c>
      <c r="DQ121" s="115">
        <v>3301802</v>
      </c>
      <c r="DS121" s="33">
        <v>0</v>
      </c>
      <c r="DT121" s="33">
        <v>529525.37</v>
      </c>
      <c r="DU121" s="33">
        <v>613808.04</v>
      </c>
      <c r="DV121" s="33">
        <v>-84282.670000000042</v>
      </c>
      <c r="DW121" s="33">
        <v>23372.690000000002</v>
      </c>
      <c r="DX121" s="33">
        <v>9600</v>
      </c>
      <c r="DY121" s="33">
        <v>13772.690000000002</v>
      </c>
    </row>
    <row r="122" spans="2:129" x14ac:dyDescent="0.35">
      <c r="B122" s="87">
        <v>2005</v>
      </c>
      <c r="C122" s="115">
        <v>3302005</v>
      </c>
      <c r="D122" s="116" t="s">
        <v>361</v>
      </c>
      <c r="E122" s="116" t="s">
        <v>362</v>
      </c>
      <c r="F122" s="117"/>
      <c r="G122" s="118"/>
      <c r="H122" s="115"/>
      <c r="I122" s="115"/>
      <c r="J122" s="115"/>
      <c r="K122" s="115"/>
      <c r="L122" s="115"/>
      <c r="M122" s="115"/>
      <c r="N122" s="115"/>
      <c r="O122" s="115"/>
      <c r="P122" s="115"/>
      <c r="Q122" s="115"/>
      <c r="R122" s="115"/>
      <c r="S122" s="119"/>
      <c r="T122" s="119"/>
      <c r="U122" s="119"/>
      <c r="V122" s="119"/>
      <c r="W122" s="119"/>
      <c r="X122" s="119"/>
      <c r="Y122" s="120"/>
      <c r="Z122" s="120">
        <v>-213879.2</v>
      </c>
      <c r="AA122" s="120">
        <v>-21001.46</v>
      </c>
      <c r="AB122" s="121">
        <v>2989560.68</v>
      </c>
      <c r="AC122" s="121">
        <v>0</v>
      </c>
      <c r="AD122" s="121">
        <v>153040.38</v>
      </c>
      <c r="AE122" s="121">
        <v>0</v>
      </c>
      <c r="AF122" s="121">
        <v>213245</v>
      </c>
      <c r="AG122" s="121">
        <v>2400</v>
      </c>
      <c r="AH122" s="121">
        <v>0</v>
      </c>
      <c r="AI122" s="121">
        <v>0</v>
      </c>
      <c r="AJ122" s="121">
        <v>101895.72</v>
      </c>
      <c r="AK122" s="121">
        <v>0</v>
      </c>
      <c r="AL122" s="121">
        <v>0</v>
      </c>
      <c r="AM122" s="121">
        <v>0</v>
      </c>
      <c r="AN122" s="121">
        <v>33658.35</v>
      </c>
      <c r="AO122" s="121">
        <v>0</v>
      </c>
      <c r="AP122" s="121">
        <v>0</v>
      </c>
      <c r="AQ122" s="121">
        <v>0</v>
      </c>
      <c r="AR122" s="121">
        <v>0</v>
      </c>
      <c r="AS122" s="121">
        <v>0</v>
      </c>
      <c r="AT122" s="121">
        <v>0</v>
      </c>
      <c r="AU122" s="121">
        <v>32544.57</v>
      </c>
      <c r="AV122" s="121">
        <v>111089</v>
      </c>
      <c r="AW122" s="121">
        <v>1651202.49</v>
      </c>
      <c r="AX122" s="121">
        <v>0</v>
      </c>
      <c r="AY122" s="121">
        <v>471916.84</v>
      </c>
      <c r="AZ122" s="121">
        <v>64260.63</v>
      </c>
      <c r="BA122" s="121">
        <v>241855.27</v>
      </c>
      <c r="BB122" s="121">
        <v>0</v>
      </c>
      <c r="BC122" s="121">
        <v>104571.26</v>
      </c>
      <c r="BD122" s="121">
        <v>1274.54</v>
      </c>
      <c r="BE122" s="121">
        <v>7033.68</v>
      </c>
      <c r="BF122" s="121">
        <v>0</v>
      </c>
      <c r="BG122" s="121">
        <v>0</v>
      </c>
      <c r="BH122" s="121">
        <v>51656.44</v>
      </c>
      <c r="BI122" s="121">
        <v>3153.64</v>
      </c>
      <c r="BJ122" s="121">
        <v>82991.69</v>
      </c>
      <c r="BK122" s="121">
        <v>8613.61</v>
      </c>
      <c r="BL122" s="121">
        <v>45466.080000000002</v>
      </c>
      <c r="BM122" s="121">
        <v>0</v>
      </c>
      <c r="BN122" s="121">
        <v>15547.93</v>
      </c>
      <c r="BO122" s="121">
        <v>96687.369999999923</v>
      </c>
      <c r="BP122" s="121">
        <v>11012.86</v>
      </c>
      <c r="BQ122" s="121">
        <v>0</v>
      </c>
      <c r="BR122" s="121">
        <v>33223.949999999997</v>
      </c>
      <c r="BS122" s="121">
        <v>4895</v>
      </c>
      <c r="BT122" s="121">
        <v>11300.99</v>
      </c>
      <c r="BU122" s="121">
        <v>145896.92000000001</v>
      </c>
      <c r="BV122" s="121">
        <v>237977.79</v>
      </c>
      <c r="BW122" s="121">
        <v>11094.08</v>
      </c>
      <c r="BX122" s="121">
        <v>176475.77</v>
      </c>
      <c r="BY122" s="121">
        <v>0</v>
      </c>
      <c r="BZ122" s="121">
        <v>0</v>
      </c>
      <c r="CA122" s="121">
        <v>30457.96</v>
      </c>
      <c r="CB122" s="121">
        <v>0</v>
      </c>
      <c r="CC122" s="121">
        <v>0</v>
      </c>
      <c r="CD122" s="121">
        <v>11510.5</v>
      </c>
      <c r="CE122" s="121">
        <v>6404.5</v>
      </c>
      <c r="CF122" s="121">
        <v>30457.96</v>
      </c>
      <c r="CG122" s="121">
        <v>0</v>
      </c>
      <c r="CH122" s="121">
        <v>0</v>
      </c>
      <c r="CI122" s="121">
        <v>0</v>
      </c>
      <c r="CJ122" s="121">
        <v>27371.5</v>
      </c>
      <c r="CK122" s="121"/>
      <c r="CL122" s="121">
        <v>-85012.290000000328</v>
      </c>
      <c r="CM122" s="121"/>
      <c r="CN122" s="121">
        <v>0</v>
      </c>
      <c r="CO122" s="121">
        <v>0</v>
      </c>
      <c r="CP122" s="121">
        <v>0</v>
      </c>
      <c r="CQ122" s="121">
        <v>0</v>
      </c>
      <c r="CR122" s="118"/>
      <c r="CS122" s="33">
        <v>-85012.290000000328</v>
      </c>
      <c r="CT122" s="33">
        <v>0</v>
      </c>
      <c r="CU122" s="65">
        <v>-54554.33</v>
      </c>
      <c r="CV122" s="65">
        <v>-30457.96</v>
      </c>
      <c r="CW122" s="65">
        <v>-30457.960000000327</v>
      </c>
      <c r="CX122" s="33">
        <v>-30457.96</v>
      </c>
      <c r="CY122" s="33">
        <v>-85012.290000000008</v>
      </c>
      <c r="CZ122" s="66">
        <v>6404.5</v>
      </c>
      <c r="DA122" s="33">
        <v>6404.5</v>
      </c>
      <c r="DB122" s="33">
        <v>0</v>
      </c>
      <c r="DC122" s="33">
        <v>-27362.200000000084</v>
      </c>
      <c r="DD122" s="65">
        <v>-30457.96</v>
      </c>
      <c r="DF122" s="33">
        <v>-3.2741809263825417E-10</v>
      </c>
      <c r="DI122" s="33">
        <v>-85012.290000000328</v>
      </c>
      <c r="DJ122" s="33">
        <v>0</v>
      </c>
      <c r="DK122" s="65">
        <v>-54554.33</v>
      </c>
      <c r="DL122" s="65">
        <v>-30457.96</v>
      </c>
      <c r="DQ122" s="115">
        <v>3302005</v>
      </c>
      <c r="DS122" s="33">
        <v>0</v>
      </c>
      <c r="DT122" s="33">
        <v>3637433.7</v>
      </c>
      <c r="DU122" s="33">
        <v>3508566.7900000005</v>
      </c>
      <c r="DV122" s="33">
        <v>128866.90999999968</v>
      </c>
      <c r="DW122" s="33">
        <v>48372.959999999999</v>
      </c>
      <c r="DX122" s="33">
        <v>27371.5</v>
      </c>
      <c r="DY122" s="33">
        <v>21001.46</v>
      </c>
    </row>
    <row r="123" spans="2:129" x14ac:dyDescent="0.35">
      <c r="B123" s="87">
        <v>2008</v>
      </c>
      <c r="C123" s="115">
        <v>3302008</v>
      </c>
      <c r="D123" s="116" t="s">
        <v>363</v>
      </c>
      <c r="E123" s="116" t="s">
        <v>364</v>
      </c>
      <c r="F123" s="117"/>
      <c r="G123" s="118"/>
      <c r="H123" s="115"/>
      <c r="I123" s="115"/>
      <c r="J123" s="115"/>
      <c r="K123" s="115"/>
      <c r="L123" s="115"/>
      <c r="M123" s="115"/>
      <c r="N123" s="115"/>
      <c r="O123" s="115"/>
      <c r="P123" s="115"/>
      <c r="Q123" s="115"/>
      <c r="R123" s="115"/>
      <c r="S123" s="119"/>
      <c r="T123" s="119"/>
      <c r="U123" s="119"/>
      <c r="V123" s="119"/>
      <c r="W123" s="119"/>
      <c r="X123" s="119"/>
      <c r="Y123" s="120">
        <v>281276.05</v>
      </c>
      <c r="Z123" s="120"/>
      <c r="AA123" s="120">
        <v>-11593.57</v>
      </c>
      <c r="AB123" s="121">
        <v>2490155.9500000002</v>
      </c>
      <c r="AC123" s="121">
        <v>0</v>
      </c>
      <c r="AD123" s="121">
        <v>77150</v>
      </c>
      <c r="AE123" s="121">
        <v>0</v>
      </c>
      <c r="AF123" s="121">
        <v>273540</v>
      </c>
      <c r="AG123" s="121">
        <v>0</v>
      </c>
      <c r="AH123" s="121">
        <v>0</v>
      </c>
      <c r="AI123" s="121">
        <v>0</v>
      </c>
      <c r="AJ123" s="121">
        <v>125673.06999999951</v>
      </c>
      <c r="AK123" s="121">
        <v>0</v>
      </c>
      <c r="AL123" s="121">
        <v>0</v>
      </c>
      <c r="AM123" s="121">
        <v>0</v>
      </c>
      <c r="AN123" s="121">
        <v>571.22</v>
      </c>
      <c r="AO123" s="121">
        <v>0</v>
      </c>
      <c r="AP123" s="121">
        <v>0</v>
      </c>
      <c r="AQ123" s="121">
        <v>0</v>
      </c>
      <c r="AR123" s="121">
        <v>0</v>
      </c>
      <c r="AS123" s="121">
        <v>0</v>
      </c>
      <c r="AT123" s="121">
        <v>0</v>
      </c>
      <c r="AU123" s="121">
        <v>44416.26</v>
      </c>
      <c r="AV123" s="121">
        <v>66039</v>
      </c>
      <c r="AW123" s="121">
        <v>1321517.7</v>
      </c>
      <c r="AX123" s="121">
        <v>0</v>
      </c>
      <c r="AY123" s="121">
        <v>334555.45</v>
      </c>
      <c r="AZ123" s="121">
        <v>69955.009999999995</v>
      </c>
      <c r="BA123" s="121">
        <v>178172.84</v>
      </c>
      <c r="BB123" s="121">
        <v>0</v>
      </c>
      <c r="BC123" s="121">
        <v>56959.55</v>
      </c>
      <c r="BD123" s="121">
        <v>0</v>
      </c>
      <c r="BE123" s="121">
        <v>4382</v>
      </c>
      <c r="BF123" s="121">
        <v>0</v>
      </c>
      <c r="BG123" s="121">
        <v>0</v>
      </c>
      <c r="BH123" s="121">
        <v>89374.61</v>
      </c>
      <c r="BI123" s="121">
        <v>2544.5</v>
      </c>
      <c r="BJ123" s="121">
        <v>12123.69</v>
      </c>
      <c r="BK123" s="121">
        <v>10840.52</v>
      </c>
      <c r="BL123" s="121">
        <v>51065.279999999999</v>
      </c>
      <c r="BM123" s="121">
        <v>0</v>
      </c>
      <c r="BN123" s="121">
        <v>9137.98</v>
      </c>
      <c r="BO123" s="121">
        <v>268576.27</v>
      </c>
      <c r="BP123" s="121">
        <v>42149.37</v>
      </c>
      <c r="BQ123" s="121">
        <v>500</v>
      </c>
      <c r="BR123" s="121">
        <v>0</v>
      </c>
      <c r="BS123" s="121">
        <v>9020</v>
      </c>
      <c r="BT123" s="121">
        <v>0</v>
      </c>
      <c r="BU123" s="121">
        <v>180352.02</v>
      </c>
      <c r="BV123" s="121">
        <v>339646.55</v>
      </c>
      <c r="BW123" s="121">
        <v>0</v>
      </c>
      <c r="BX123" s="121">
        <v>143155.59</v>
      </c>
      <c r="BY123" s="121">
        <v>0</v>
      </c>
      <c r="BZ123" s="121">
        <v>0</v>
      </c>
      <c r="CA123" s="121">
        <v>0</v>
      </c>
      <c r="CB123" s="121">
        <v>0</v>
      </c>
      <c r="CC123" s="121">
        <v>0</v>
      </c>
      <c r="CD123" s="121">
        <v>9130</v>
      </c>
      <c r="CE123" s="121">
        <v>19018.98</v>
      </c>
      <c r="CF123" s="121">
        <v>0</v>
      </c>
      <c r="CG123" s="121">
        <v>0</v>
      </c>
      <c r="CH123" s="121">
        <v>0</v>
      </c>
      <c r="CI123" s="121">
        <v>0</v>
      </c>
      <c r="CJ123" s="121">
        <v>7909.98</v>
      </c>
      <c r="CK123" s="121"/>
      <c r="CL123" s="121">
        <v>234792.61999999982</v>
      </c>
      <c r="CM123" s="121"/>
      <c r="CN123" s="121">
        <v>8645.43</v>
      </c>
      <c r="CO123" s="121">
        <v>0</v>
      </c>
      <c r="CP123" s="121">
        <v>0</v>
      </c>
      <c r="CQ123" s="121">
        <v>0</v>
      </c>
      <c r="CR123" s="118"/>
      <c r="CS123" s="33">
        <v>234792.61999999982</v>
      </c>
      <c r="CT123" s="33">
        <v>8645.43</v>
      </c>
      <c r="CU123" s="65">
        <v>234792.62</v>
      </c>
      <c r="CV123" s="65">
        <v>8645.43</v>
      </c>
      <c r="CW123" s="65">
        <v>0</v>
      </c>
      <c r="CX123" s="33">
        <v>0</v>
      </c>
      <c r="CY123" s="33">
        <v>243438.05</v>
      </c>
      <c r="CZ123" s="66">
        <v>19018.98</v>
      </c>
      <c r="DA123" s="33">
        <v>19018.98</v>
      </c>
      <c r="DB123" s="33">
        <v>77662.950000000477</v>
      </c>
      <c r="DC123" s="33">
        <v>0</v>
      </c>
      <c r="DF123" s="33">
        <v>-1.8189894035458565E-10</v>
      </c>
      <c r="DI123" s="33">
        <v>234792.61999999982</v>
      </c>
      <c r="DJ123" s="33">
        <v>8645.43</v>
      </c>
      <c r="DK123" s="65">
        <v>234792.62</v>
      </c>
      <c r="DL123" s="65">
        <v>8645.43</v>
      </c>
      <c r="DQ123" s="115">
        <v>3302008</v>
      </c>
      <c r="DS123" s="33">
        <v>0</v>
      </c>
      <c r="DT123" s="33">
        <v>3077545.4999999995</v>
      </c>
      <c r="DU123" s="33">
        <v>3124028.9299999997</v>
      </c>
      <c r="DV123" s="33">
        <v>-46483.430000000168</v>
      </c>
      <c r="DW123" s="33">
        <v>28148.98</v>
      </c>
      <c r="DX123" s="33">
        <v>7909.98</v>
      </c>
      <c r="DY123" s="33">
        <v>20239</v>
      </c>
    </row>
    <row r="124" spans="2:129" x14ac:dyDescent="0.35">
      <c r="B124" s="87">
        <v>2011</v>
      </c>
      <c r="C124" s="115">
        <v>3302011</v>
      </c>
      <c r="D124" s="116" t="s">
        <v>365</v>
      </c>
      <c r="E124" s="116" t="s">
        <v>366</v>
      </c>
      <c r="F124" s="117"/>
      <c r="G124" s="118"/>
      <c r="H124" s="115"/>
      <c r="I124" s="115"/>
      <c r="J124" s="115"/>
      <c r="K124" s="115"/>
      <c r="L124" s="115"/>
      <c r="M124" s="115"/>
      <c r="N124" s="115"/>
      <c r="O124" s="115"/>
      <c r="P124" s="115"/>
      <c r="Q124" s="115"/>
      <c r="R124" s="115"/>
      <c r="S124" s="119"/>
      <c r="T124" s="119"/>
      <c r="U124" s="119"/>
      <c r="V124" s="119"/>
      <c r="W124" s="119"/>
      <c r="X124" s="119"/>
      <c r="Y124" s="120">
        <v>574279.67000000004</v>
      </c>
      <c r="Z124" s="120"/>
      <c r="AA124" s="120">
        <v>48883.16</v>
      </c>
      <c r="AB124" s="121">
        <v>3035498.28</v>
      </c>
      <c r="AC124" s="121">
        <v>0</v>
      </c>
      <c r="AD124" s="121">
        <v>96640.15</v>
      </c>
      <c r="AE124" s="121">
        <v>0</v>
      </c>
      <c r="AF124" s="121">
        <v>261836.5</v>
      </c>
      <c r="AG124" s="121">
        <v>6580</v>
      </c>
      <c r="AH124" s="121">
        <v>0</v>
      </c>
      <c r="AI124" s="121">
        <v>0</v>
      </c>
      <c r="AJ124" s="121">
        <v>124755.86</v>
      </c>
      <c r="AK124" s="121">
        <v>39116.93</v>
      </c>
      <c r="AL124" s="121">
        <v>0</v>
      </c>
      <c r="AM124" s="121">
        <v>0</v>
      </c>
      <c r="AN124" s="121">
        <v>25787.21</v>
      </c>
      <c r="AO124" s="121">
        <v>0</v>
      </c>
      <c r="AP124" s="121">
        <v>0</v>
      </c>
      <c r="AQ124" s="121">
        <v>0</v>
      </c>
      <c r="AR124" s="121">
        <v>0</v>
      </c>
      <c r="AS124" s="121">
        <v>0</v>
      </c>
      <c r="AT124" s="121">
        <v>0</v>
      </c>
      <c r="AU124" s="121">
        <v>22317</v>
      </c>
      <c r="AV124" s="121">
        <v>104545</v>
      </c>
      <c r="AW124" s="121">
        <v>2003709.19</v>
      </c>
      <c r="AX124" s="121">
        <v>0</v>
      </c>
      <c r="AY124" s="121">
        <v>262197.44</v>
      </c>
      <c r="AZ124" s="121">
        <v>0</v>
      </c>
      <c r="BA124" s="121">
        <v>220045.12</v>
      </c>
      <c r="BB124" s="121">
        <v>135673.31</v>
      </c>
      <c r="BC124" s="121">
        <v>87269.25</v>
      </c>
      <c r="BD124" s="121">
        <v>16520.900000000001</v>
      </c>
      <c r="BE124" s="121">
        <v>140</v>
      </c>
      <c r="BF124" s="121">
        <v>0</v>
      </c>
      <c r="BG124" s="121">
        <v>0</v>
      </c>
      <c r="BH124" s="121">
        <v>3289.2</v>
      </c>
      <c r="BI124" s="121">
        <v>0</v>
      </c>
      <c r="BJ124" s="121">
        <v>0</v>
      </c>
      <c r="BK124" s="121">
        <v>18063.150000000001</v>
      </c>
      <c r="BL124" s="121">
        <v>45866.14</v>
      </c>
      <c r="BM124" s="121">
        <v>84714.81</v>
      </c>
      <c r="BN124" s="121">
        <v>7355.76</v>
      </c>
      <c r="BO124" s="121">
        <v>94939.950000000084</v>
      </c>
      <c r="BP124" s="121">
        <v>46144.58</v>
      </c>
      <c r="BQ124" s="121">
        <v>0</v>
      </c>
      <c r="BR124" s="121">
        <v>10723.94</v>
      </c>
      <c r="BS124" s="121">
        <v>4895</v>
      </c>
      <c r="BT124" s="121">
        <v>6372</v>
      </c>
      <c r="BU124" s="121">
        <v>80638.3</v>
      </c>
      <c r="BV124" s="121">
        <v>219811.12</v>
      </c>
      <c r="BW124" s="121">
        <v>34091.5</v>
      </c>
      <c r="BX124" s="121">
        <v>300250.36</v>
      </c>
      <c r="BY124" s="121">
        <v>226625.86</v>
      </c>
      <c r="BZ124" s="121">
        <v>0</v>
      </c>
      <c r="CA124" s="121">
        <v>0</v>
      </c>
      <c r="CB124" s="121">
        <v>0</v>
      </c>
      <c r="CC124" s="121">
        <v>0</v>
      </c>
      <c r="CD124" s="121">
        <v>11283.25</v>
      </c>
      <c r="CE124" s="121">
        <v>22704</v>
      </c>
      <c r="CF124" s="121">
        <v>0</v>
      </c>
      <c r="CG124" s="121">
        <v>0</v>
      </c>
      <c r="CH124" s="121">
        <v>0</v>
      </c>
      <c r="CI124" s="121">
        <v>0</v>
      </c>
      <c r="CJ124" s="121">
        <v>0</v>
      </c>
      <c r="CK124" s="121"/>
      <c r="CL124" s="121">
        <v>382019.71999999986</v>
      </c>
      <c r="CM124" s="121"/>
      <c r="CN124" s="121">
        <v>82870.41</v>
      </c>
      <c r="CO124" s="121">
        <v>0</v>
      </c>
      <c r="CP124" s="121">
        <v>0</v>
      </c>
      <c r="CQ124" s="121">
        <v>0</v>
      </c>
      <c r="CR124" s="118"/>
      <c r="CS124" s="33">
        <v>382019.71999999986</v>
      </c>
      <c r="CT124" s="33">
        <v>82870.41</v>
      </c>
      <c r="CU124" s="65">
        <v>382019.72</v>
      </c>
      <c r="CV124" s="65">
        <v>82870.41</v>
      </c>
      <c r="CW124" s="65">
        <v>0</v>
      </c>
      <c r="CX124" s="33">
        <v>0</v>
      </c>
      <c r="CY124" s="33">
        <v>464890.13</v>
      </c>
      <c r="CZ124" s="66">
        <v>22704</v>
      </c>
      <c r="DA124" s="33">
        <v>22704</v>
      </c>
      <c r="DB124" s="33">
        <v>0</v>
      </c>
      <c r="DC124" s="33">
        <v>-2.9999999911524355E-2</v>
      </c>
      <c r="DF124" s="33">
        <v>0</v>
      </c>
      <c r="DI124" s="33">
        <v>382019.71999999986</v>
      </c>
      <c r="DJ124" s="33">
        <v>82870.41</v>
      </c>
      <c r="DK124" s="65">
        <v>382019.72</v>
      </c>
      <c r="DL124" s="65">
        <v>82870.41</v>
      </c>
      <c r="DQ124" s="115">
        <v>3302011</v>
      </c>
      <c r="DS124" s="33">
        <v>0</v>
      </c>
      <c r="DT124" s="33">
        <v>3717076.9299999997</v>
      </c>
      <c r="DU124" s="33">
        <v>3909336.88</v>
      </c>
      <c r="DV124" s="33">
        <v>-192259.95000000019</v>
      </c>
      <c r="DW124" s="33">
        <v>33987.25</v>
      </c>
      <c r="DX124" s="33">
        <v>0</v>
      </c>
      <c r="DY124" s="33">
        <v>33987.25</v>
      </c>
    </row>
    <row r="125" spans="2:129" x14ac:dyDescent="0.35">
      <c r="B125" s="87">
        <v>2014</v>
      </c>
      <c r="C125" s="115">
        <v>3302014</v>
      </c>
      <c r="D125" s="116" t="s">
        <v>367</v>
      </c>
      <c r="E125" s="116" t="s">
        <v>368</v>
      </c>
      <c r="F125" s="117"/>
      <c r="G125" s="118"/>
      <c r="H125" s="115"/>
      <c r="I125" s="115"/>
      <c r="J125" s="115"/>
      <c r="K125" s="115"/>
      <c r="L125" s="115"/>
      <c r="M125" s="115"/>
      <c r="N125" s="115"/>
      <c r="O125" s="115"/>
      <c r="P125" s="115"/>
      <c r="Q125" s="115"/>
      <c r="R125" s="115"/>
      <c r="S125" s="119"/>
      <c r="T125" s="119"/>
      <c r="U125" s="119"/>
      <c r="V125" s="119"/>
      <c r="W125" s="119"/>
      <c r="X125" s="119"/>
      <c r="Y125" s="120">
        <v>130032.71</v>
      </c>
      <c r="Z125" s="120"/>
      <c r="AA125" s="120">
        <v>-46883</v>
      </c>
      <c r="AB125" s="121">
        <v>2236493.39</v>
      </c>
      <c r="AC125" s="121">
        <v>0</v>
      </c>
      <c r="AD125" s="121">
        <v>31167.5</v>
      </c>
      <c r="AE125" s="121">
        <v>0</v>
      </c>
      <c r="AF125" s="121">
        <v>257536.5</v>
      </c>
      <c r="AG125" s="121">
        <v>856.93</v>
      </c>
      <c r="AH125" s="121">
        <v>0</v>
      </c>
      <c r="AI125" s="121">
        <v>0</v>
      </c>
      <c r="AJ125" s="121">
        <v>124449.39999999967</v>
      </c>
      <c r="AK125" s="121">
        <v>0</v>
      </c>
      <c r="AL125" s="121">
        <v>0</v>
      </c>
      <c r="AM125" s="121">
        <v>0</v>
      </c>
      <c r="AN125" s="121">
        <v>3096.65</v>
      </c>
      <c r="AO125" s="121">
        <v>0</v>
      </c>
      <c r="AP125" s="121">
        <v>0</v>
      </c>
      <c r="AQ125" s="121">
        <v>0</v>
      </c>
      <c r="AR125" s="121">
        <v>0</v>
      </c>
      <c r="AS125" s="121">
        <v>0</v>
      </c>
      <c r="AT125" s="121">
        <v>0</v>
      </c>
      <c r="AU125" s="121">
        <v>25134.76</v>
      </c>
      <c r="AV125" s="121">
        <v>70089</v>
      </c>
      <c r="AW125" s="121">
        <v>1133509.43</v>
      </c>
      <c r="AX125" s="121">
        <v>0</v>
      </c>
      <c r="AY125" s="121">
        <v>587448.18000000005</v>
      </c>
      <c r="AZ125" s="121">
        <v>89183.78</v>
      </c>
      <c r="BA125" s="121">
        <v>342045.32</v>
      </c>
      <c r="BB125" s="121">
        <v>56323.25</v>
      </c>
      <c r="BC125" s="121">
        <v>99751.5</v>
      </c>
      <c r="BD125" s="121">
        <v>12264.79</v>
      </c>
      <c r="BE125" s="121">
        <v>12669</v>
      </c>
      <c r="BF125" s="121">
        <v>0</v>
      </c>
      <c r="BG125" s="121">
        <v>0</v>
      </c>
      <c r="BH125" s="121">
        <v>60933.65</v>
      </c>
      <c r="BI125" s="121">
        <v>12269.88</v>
      </c>
      <c r="BJ125" s="121">
        <v>7280.86</v>
      </c>
      <c r="BK125" s="121">
        <v>3305.16</v>
      </c>
      <c r="BL125" s="121">
        <v>66561.8</v>
      </c>
      <c r="BM125" s="121">
        <v>0</v>
      </c>
      <c r="BN125" s="121">
        <v>18029.28</v>
      </c>
      <c r="BO125" s="121">
        <v>149581.37</v>
      </c>
      <c r="BP125" s="121">
        <v>0</v>
      </c>
      <c r="BQ125" s="121">
        <v>1150</v>
      </c>
      <c r="BR125" s="121">
        <v>208117.37</v>
      </c>
      <c r="BS125" s="121">
        <v>9465</v>
      </c>
      <c r="BT125" s="121">
        <v>4560</v>
      </c>
      <c r="BU125" s="121">
        <v>65087.69</v>
      </c>
      <c r="BV125" s="121">
        <v>70542.460000000006</v>
      </c>
      <c r="BW125" s="121">
        <v>11709.29</v>
      </c>
      <c r="BX125" s="121">
        <v>171391.67</v>
      </c>
      <c r="BY125" s="121">
        <v>0</v>
      </c>
      <c r="BZ125" s="121">
        <v>0</v>
      </c>
      <c r="CA125" s="121">
        <v>48491</v>
      </c>
      <c r="CB125" s="121">
        <v>0</v>
      </c>
      <c r="CC125" s="121">
        <v>0</v>
      </c>
      <c r="CD125" s="121">
        <v>8461.75</v>
      </c>
      <c r="CE125" s="121">
        <v>0</v>
      </c>
      <c r="CF125" s="121">
        <v>48491</v>
      </c>
      <c r="CG125" s="121">
        <v>0</v>
      </c>
      <c r="CH125" s="121">
        <v>0</v>
      </c>
      <c r="CI125" s="121">
        <v>8461.75</v>
      </c>
      <c r="CJ125" s="121">
        <v>1608</v>
      </c>
      <c r="CK125" s="121">
        <v>0</v>
      </c>
      <c r="CL125" s="121">
        <v>-362814.89000000007</v>
      </c>
      <c r="CM125" s="121"/>
      <c r="CN125" s="121">
        <v>0</v>
      </c>
      <c r="CO125" s="121">
        <v>0</v>
      </c>
      <c r="CP125" s="121">
        <v>0</v>
      </c>
      <c r="CQ125" s="121">
        <v>0</v>
      </c>
      <c r="CR125" s="118"/>
      <c r="CS125" s="33">
        <v>-362814.89000000007</v>
      </c>
      <c r="CT125" s="33">
        <v>0</v>
      </c>
      <c r="CU125" s="65">
        <v>-314323.89</v>
      </c>
      <c r="CV125" s="65">
        <v>-48491</v>
      </c>
      <c r="CW125" s="65">
        <v>-48491.000000000058</v>
      </c>
      <c r="CX125" s="33">
        <v>-48491</v>
      </c>
      <c r="CY125" s="33">
        <v>-362814.89</v>
      </c>
      <c r="CZ125" s="66">
        <v>0</v>
      </c>
      <c r="DA125" s="33">
        <v>0</v>
      </c>
      <c r="DB125" s="33">
        <v>30843.920000000333</v>
      </c>
      <c r="DC125" s="33">
        <v>0</v>
      </c>
      <c r="DD125" s="65">
        <v>-48491</v>
      </c>
      <c r="DF125" s="33">
        <v>-5.8207660913467407E-11</v>
      </c>
      <c r="DI125" s="33">
        <v>-362814.89000000007</v>
      </c>
      <c r="DJ125" s="33">
        <v>0</v>
      </c>
      <c r="DK125" s="65">
        <v>-314323.89</v>
      </c>
      <c r="DL125" s="65">
        <v>-48491</v>
      </c>
      <c r="DQ125" s="115">
        <v>3302014</v>
      </c>
      <c r="DS125" s="33">
        <v>0</v>
      </c>
      <c r="DT125" s="33">
        <v>2748824.1299999994</v>
      </c>
      <c r="DU125" s="33">
        <v>3241671.7299999995</v>
      </c>
      <c r="DV125" s="33">
        <v>-492847.60000000009</v>
      </c>
      <c r="DW125" s="33">
        <v>56952.75</v>
      </c>
      <c r="DX125" s="33">
        <v>10069.75</v>
      </c>
      <c r="DY125" s="33">
        <v>46883</v>
      </c>
    </row>
    <row r="126" spans="2:129" x14ac:dyDescent="0.35">
      <c r="B126" s="87">
        <v>2015</v>
      </c>
      <c r="C126" s="115">
        <v>3302015</v>
      </c>
      <c r="D126" s="116" t="s">
        <v>369</v>
      </c>
      <c r="E126" s="116" t="s">
        <v>370</v>
      </c>
      <c r="F126" s="117"/>
      <c r="G126" s="118"/>
      <c r="H126" s="115"/>
      <c r="I126" s="115"/>
      <c r="J126" s="115"/>
      <c r="K126" s="115"/>
      <c r="L126" s="115"/>
      <c r="M126" s="115"/>
      <c r="N126" s="115"/>
      <c r="O126" s="115"/>
      <c r="P126" s="115"/>
      <c r="Q126" s="115"/>
      <c r="R126" s="115"/>
      <c r="S126" s="119"/>
      <c r="T126" s="119"/>
      <c r="U126" s="119"/>
      <c r="V126" s="119"/>
      <c r="W126" s="119"/>
      <c r="X126" s="119"/>
      <c r="Y126" s="120">
        <v>845275.47</v>
      </c>
      <c r="Z126" s="120"/>
      <c r="AA126" s="120">
        <v>1864</v>
      </c>
      <c r="AB126" s="121">
        <v>2432145</v>
      </c>
      <c r="AC126" s="121">
        <v>0</v>
      </c>
      <c r="AD126" s="121">
        <v>92594.83</v>
      </c>
      <c r="AE126" s="121">
        <v>0</v>
      </c>
      <c r="AF126" s="121">
        <v>272085.5</v>
      </c>
      <c r="AG126" s="121">
        <v>4513.8599999999997</v>
      </c>
      <c r="AH126" s="121">
        <v>0</v>
      </c>
      <c r="AI126" s="121">
        <v>0</v>
      </c>
      <c r="AJ126" s="121">
        <v>62058.239999999998</v>
      </c>
      <c r="AK126" s="121">
        <v>28524.49</v>
      </c>
      <c r="AL126" s="121">
        <v>0</v>
      </c>
      <c r="AM126" s="121">
        <v>0</v>
      </c>
      <c r="AN126" s="121">
        <v>4170.91</v>
      </c>
      <c r="AO126" s="121">
        <v>886.51</v>
      </c>
      <c r="AP126" s="121">
        <v>0</v>
      </c>
      <c r="AQ126" s="121">
        <v>0</v>
      </c>
      <c r="AR126" s="121">
        <v>0</v>
      </c>
      <c r="AS126" s="121">
        <v>0</v>
      </c>
      <c r="AT126" s="121">
        <v>0</v>
      </c>
      <c r="AU126" s="121">
        <v>45413.120000000003</v>
      </c>
      <c r="AV126" s="121">
        <v>68087</v>
      </c>
      <c r="AW126" s="121">
        <v>1300587.54</v>
      </c>
      <c r="AX126" s="121">
        <v>0</v>
      </c>
      <c r="AY126" s="121">
        <v>446205.14</v>
      </c>
      <c r="AZ126" s="121">
        <v>125213.74</v>
      </c>
      <c r="BA126" s="121">
        <v>168550.81</v>
      </c>
      <c r="BB126" s="121">
        <v>130537.77</v>
      </c>
      <c r="BC126" s="121">
        <v>69030.880000000005</v>
      </c>
      <c r="BD126" s="121">
        <v>3073.44</v>
      </c>
      <c r="BE126" s="121">
        <v>13988.37</v>
      </c>
      <c r="BF126" s="121">
        <v>0</v>
      </c>
      <c r="BG126" s="121">
        <v>0</v>
      </c>
      <c r="BH126" s="121">
        <v>204936.24</v>
      </c>
      <c r="BI126" s="121">
        <v>3906.5</v>
      </c>
      <c r="BJ126" s="121">
        <v>5145.37</v>
      </c>
      <c r="BK126" s="121">
        <v>13112.75</v>
      </c>
      <c r="BL126" s="121">
        <v>84301.21</v>
      </c>
      <c r="BM126" s="121">
        <v>40128.25</v>
      </c>
      <c r="BN126" s="121">
        <v>12651.86</v>
      </c>
      <c r="BO126" s="121">
        <v>72979.200000000666</v>
      </c>
      <c r="BP126" s="121">
        <v>34579.379999999997</v>
      </c>
      <c r="BQ126" s="121">
        <v>0</v>
      </c>
      <c r="BR126" s="121">
        <v>106025.61</v>
      </c>
      <c r="BS126" s="121">
        <v>4895</v>
      </c>
      <c r="BT126" s="121">
        <v>3272</v>
      </c>
      <c r="BU126" s="121">
        <v>62800.12</v>
      </c>
      <c r="BV126" s="121">
        <v>73842.080000000002</v>
      </c>
      <c r="BW126" s="121">
        <v>2557.5</v>
      </c>
      <c r="BX126" s="121">
        <v>194168.43</v>
      </c>
      <c r="BY126" s="121">
        <v>0</v>
      </c>
      <c r="BZ126" s="121">
        <v>0</v>
      </c>
      <c r="CA126" s="121">
        <v>0</v>
      </c>
      <c r="CB126" s="121">
        <v>0</v>
      </c>
      <c r="CC126" s="121">
        <v>0</v>
      </c>
      <c r="CD126" s="121">
        <v>8950</v>
      </c>
      <c r="CE126" s="121">
        <v>18661.91</v>
      </c>
      <c r="CF126" s="121">
        <v>0</v>
      </c>
      <c r="CG126" s="121">
        <v>0</v>
      </c>
      <c r="CH126" s="121">
        <v>0</v>
      </c>
      <c r="CI126" s="121">
        <v>0</v>
      </c>
      <c r="CJ126" s="121">
        <v>0</v>
      </c>
      <c r="CK126" s="121"/>
      <c r="CL126" s="121">
        <v>679265.74</v>
      </c>
      <c r="CM126" s="121"/>
      <c r="CN126" s="121">
        <v>29475.91</v>
      </c>
      <c r="CO126" s="121">
        <v>0</v>
      </c>
      <c r="CP126" s="121">
        <v>0</v>
      </c>
      <c r="CQ126" s="121">
        <v>0</v>
      </c>
      <c r="CR126" s="118"/>
      <c r="CS126" s="33">
        <v>679265.74</v>
      </c>
      <c r="CT126" s="33">
        <v>29475.91</v>
      </c>
      <c r="CU126" s="65">
        <v>679265.74</v>
      </c>
      <c r="CV126" s="65">
        <v>29475.91</v>
      </c>
      <c r="CW126" s="65">
        <v>0</v>
      </c>
      <c r="CX126" s="33">
        <v>0</v>
      </c>
      <c r="CY126" s="33">
        <v>708741.65</v>
      </c>
      <c r="CZ126" s="66">
        <v>18661.91</v>
      </c>
      <c r="DA126" s="33">
        <v>18661.91</v>
      </c>
      <c r="DB126" s="33">
        <v>0</v>
      </c>
      <c r="DC126" s="33">
        <v>-2.9999999329447746E-2</v>
      </c>
      <c r="DF126" s="33">
        <v>3.2741809263825417E-11</v>
      </c>
      <c r="DI126" s="33">
        <v>679265.74</v>
      </c>
      <c r="DJ126" s="33">
        <v>29475.91</v>
      </c>
      <c r="DK126" s="65">
        <v>679265.74</v>
      </c>
      <c r="DL126" s="65">
        <v>29475.91</v>
      </c>
      <c r="DQ126" s="115">
        <v>3302015</v>
      </c>
      <c r="DS126" s="33">
        <v>0</v>
      </c>
      <c r="DT126" s="33">
        <v>3010479.4600000004</v>
      </c>
      <c r="DU126" s="33">
        <v>3176489.1900000004</v>
      </c>
      <c r="DV126" s="33">
        <v>-166009.72999999998</v>
      </c>
      <c r="DW126" s="33">
        <v>27611.91</v>
      </c>
      <c r="DX126" s="33">
        <v>0</v>
      </c>
      <c r="DY126" s="33">
        <v>27611.91</v>
      </c>
    </row>
    <row r="127" spans="2:129" x14ac:dyDescent="0.35">
      <c r="B127" s="87">
        <v>2016</v>
      </c>
      <c r="C127" s="115">
        <v>3302016</v>
      </c>
      <c r="D127" s="116" t="s">
        <v>371</v>
      </c>
      <c r="E127" s="116" t="s">
        <v>372</v>
      </c>
      <c r="F127" s="117"/>
      <c r="G127" s="118"/>
      <c r="H127" s="115"/>
      <c r="I127" s="115"/>
      <c r="J127" s="115"/>
      <c r="K127" s="115"/>
      <c r="L127" s="115"/>
      <c r="M127" s="115"/>
      <c r="N127" s="115"/>
      <c r="O127" s="115"/>
      <c r="P127" s="115"/>
      <c r="Q127" s="115"/>
      <c r="R127" s="115"/>
      <c r="S127" s="119"/>
      <c r="T127" s="119"/>
      <c r="U127" s="119"/>
      <c r="V127" s="119"/>
      <c r="W127" s="119"/>
      <c r="X127" s="119"/>
      <c r="Y127" s="120">
        <v>188557.99</v>
      </c>
      <c r="Z127" s="120"/>
      <c r="AA127" s="120">
        <v>-29313.8</v>
      </c>
      <c r="AB127" s="121">
        <v>2038361.02</v>
      </c>
      <c r="AC127" s="121">
        <v>0</v>
      </c>
      <c r="AD127" s="121">
        <v>89132.5</v>
      </c>
      <c r="AE127" s="121">
        <v>0</v>
      </c>
      <c r="AF127" s="121">
        <v>208000</v>
      </c>
      <c r="AG127" s="121">
        <v>200</v>
      </c>
      <c r="AH127" s="121">
        <v>0</v>
      </c>
      <c r="AI127" s="121">
        <v>0</v>
      </c>
      <c r="AJ127" s="121">
        <v>36372.550000000003</v>
      </c>
      <c r="AK127" s="121">
        <v>0</v>
      </c>
      <c r="AL127" s="121">
        <v>0</v>
      </c>
      <c r="AM127" s="121">
        <v>0</v>
      </c>
      <c r="AN127" s="121">
        <v>74769.2</v>
      </c>
      <c r="AO127" s="121">
        <v>0</v>
      </c>
      <c r="AP127" s="121">
        <v>0</v>
      </c>
      <c r="AQ127" s="121">
        <v>0</v>
      </c>
      <c r="AR127" s="121">
        <v>0</v>
      </c>
      <c r="AS127" s="121">
        <v>0</v>
      </c>
      <c r="AT127" s="121">
        <v>0</v>
      </c>
      <c r="AU127" s="121">
        <v>26275.02</v>
      </c>
      <c r="AV127" s="121">
        <v>19603</v>
      </c>
      <c r="AW127" s="121">
        <v>1020864.34</v>
      </c>
      <c r="AX127" s="121">
        <v>0</v>
      </c>
      <c r="AY127" s="121">
        <v>316978.06</v>
      </c>
      <c r="AZ127" s="121">
        <v>0</v>
      </c>
      <c r="BA127" s="121">
        <v>230797.98</v>
      </c>
      <c r="BB127" s="121">
        <v>0</v>
      </c>
      <c r="BC127" s="121">
        <v>82279.740000000005</v>
      </c>
      <c r="BD127" s="121">
        <v>815</v>
      </c>
      <c r="BE127" s="121">
        <v>8921</v>
      </c>
      <c r="BF127" s="121">
        <v>0</v>
      </c>
      <c r="BG127" s="121">
        <v>0</v>
      </c>
      <c r="BH127" s="121">
        <v>418313.75</v>
      </c>
      <c r="BI127" s="121">
        <v>0</v>
      </c>
      <c r="BJ127" s="121">
        <v>6.17</v>
      </c>
      <c r="BK127" s="121">
        <v>0</v>
      </c>
      <c r="BL127" s="121">
        <v>62317.02</v>
      </c>
      <c r="BM127" s="121">
        <v>0</v>
      </c>
      <c r="BN127" s="121">
        <v>14.5</v>
      </c>
      <c r="BO127" s="121">
        <v>76425.400000000067</v>
      </c>
      <c r="BP127" s="121">
        <v>9305.5499999999993</v>
      </c>
      <c r="BQ127" s="121">
        <v>53.67</v>
      </c>
      <c r="BR127" s="121">
        <v>51182.41</v>
      </c>
      <c r="BS127" s="121">
        <v>4895</v>
      </c>
      <c r="BT127" s="121">
        <v>10327.200000000001</v>
      </c>
      <c r="BU127" s="121">
        <v>64885.84</v>
      </c>
      <c r="BV127" s="121">
        <v>114615.39</v>
      </c>
      <c r="BW127" s="121">
        <v>0</v>
      </c>
      <c r="BX127" s="121">
        <v>87160.93</v>
      </c>
      <c r="BY127" s="121">
        <v>0</v>
      </c>
      <c r="BZ127" s="121">
        <v>0</v>
      </c>
      <c r="CA127" s="121">
        <v>38037.57</v>
      </c>
      <c r="CB127" s="121">
        <v>0</v>
      </c>
      <c r="CC127" s="121">
        <v>0</v>
      </c>
      <c r="CD127" s="121">
        <v>8072.5</v>
      </c>
      <c r="CE127" s="121">
        <v>0</v>
      </c>
      <c r="CF127" s="121">
        <v>38037.57</v>
      </c>
      <c r="CG127" s="121">
        <v>0</v>
      </c>
      <c r="CH127" s="121">
        <v>0</v>
      </c>
      <c r="CI127" s="121">
        <v>8072.5</v>
      </c>
      <c r="CJ127" s="121">
        <v>8723.77</v>
      </c>
      <c r="CK127" s="121">
        <v>0</v>
      </c>
      <c r="CL127" s="121">
        <v>83074.760000000475</v>
      </c>
      <c r="CM127" s="121"/>
      <c r="CN127" s="121">
        <v>0</v>
      </c>
      <c r="CO127" s="121">
        <v>0</v>
      </c>
      <c r="CP127" s="121">
        <v>0</v>
      </c>
      <c r="CQ127" s="121">
        <v>0</v>
      </c>
      <c r="CR127" s="118"/>
      <c r="CS127" s="33">
        <v>83074.760000000475</v>
      </c>
      <c r="CT127" s="33">
        <v>0</v>
      </c>
      <c r="CU127" s="65">
        <v>121112.33</v>
      </c>
      <c r="CV127" s="65">
        <v>-38037.57</v>
      </c>
      <c r="CW127" s="65">
        <v>-38037.569999999527</v>
      </c>
      <c r="CX127" s="33">
        <v>-38037.57</v>
      </c>
      <c r="CY127" s="33">
        <v>83074.760000000009</v>
      </c>
      <c r="CZ127" s="66">
        <v>0</v>
      </c>
      <c r="DA127" s="33">
        <v>0</v>
      </c>
      <c r="DB127" s="33">
        <v>0</v>
      </c>
      <c r="DC127" s="33">
        <v>-9.9999999365536496E-3</v>
      </c>
      <c r="DD127" s="65">
        <v>-38037.57</v>
      </c>
      <c r="DF127" s="33">
        <v>4.7293724492192268E-10</v>
      </c>
      <c r="DI127" s="33">
        <v>83074.760000000475</v>
      </c>
      <c r="DJ127" s="33">
        <v>0</v>
      </c>
      <c r="DK127" s="65">
        <v>121112.33</v>
      </c>
      <c r="DL127" s="65">
        <v>-38037.57</v>
      </c>
      <c r="DQ127" s="115">
        <v>3302016</v>
      </c>
      <c r="DS127" s="33">
        <v>0</v>
      </c>
      <c r="DT127" s="33">
        <v>2492713.29</v>
      </c>
      <c r="DU127" s="33">
        <v>2598196.5199999996</v>
      </c>
      <c r="DV127" s="33">
        <v>-105483.22999999952</v>
      </c>
      <c r="DW127" s="33">
        <v>46110.07</v>
      </c>
      <c r="DX127" s="33">
        <v>16796.27</v>
      </c>
      <c r="DY127" s="33">
        <v>29313.8</v>
      </c>
    </row>
    <row r="128" spans="2:129" x14ac:dyDescent="0.35">
      <c r="B128" s="87">
        <v>2030</v>
      </c>
      <c r="C128" s="115">
        <v>3302030</v>
      </c>
      <c r="D128" s="116" t="s">
        <v>373</v>
      </c>
      <c r="E128" s="116" t="s">
        <v>374</v>
      </c>
      <c r="F128" s="117"/>
      <c r="G128" s="118"/>
      <c r="H128" s="115"/>
      <c r="I128" s="115"/>
      <c r="J128" s="115"/>
      <c r="K128" s="115"/>
      <c r="L128" s="115"/>
      <c r="M128" s="115"/>
      <c r="N128" s="115"/>
      <c r="O128" s="115"/>
      <c r="P128" s="115"/>
      <c r="Q128" s="115"/>
      <c r="R128" s="115"/>
      <c r="S128" s="119"/>
      <c r="T128" s="119"/>
      <c r="U128" s="119"/>
      <c r="V128" s="119"/>
      <c r="W128" s="119"/>
      <c r="X128" s="119"/>
      <c r="Y128" s="120">
        <v>273391.12</v>
      </c>
      <c r="Z128" s="120"/>
      <c r="AA128" s="120">
        <v>19246.849999999999</v>
      </c>
      <c r="AB128" s="121">
        <v>3500065.85</v>
      </c>
      <c r="AC128" s="121">
        <v>0</v>
      </c>
      <c r="AD128" s="121">
        <v>73242.5</v>
      </c>
      <c r="AE128" s="121">
        <v>0</v>
      </c>
      <c r="AF128" s="121">
        <v>365205.5</v>
      </c>
      <c r="AG128" s="121">
        <v>0</v>
      </c>
      <c r="AH128" s="121">
        <v>0</v>
      </c>
      <c r="AI128" s="121">
        <v>0</v>
      </c>
      <c r="AJ128" s="121">
        <v>89112.319999999163</v>
      </c>
      <c r="AK128" s="121">
        <v>29505.919999999998</v>
      </c>
      <c r="AL128" s="121">
        <v>4752.83</v>
      </c>
      <c r="AM128" s="121">
        <v>0</v>
      </c>
      <c r="AN128" s="121">
        <v>18558.830000000002</v>
      </c>
      <c r="AO128" s="121">
        <v>0</v>
      </c>
      <c r="AP128" s="121">
        <v>0</v>
      </c>
      <c r="AQ128" s="121">
        <v>0</v>
      </c>
      <c r="AR128" s="121">
        <v>0</v>
      </c>
      <c r="AS128" s="121">
        <v>0</v>
      </c>
      <c r="AT128" s="121">
        <v>0</v>
      </c>
      <c r="AU128" s="121">
        <v>38190.720000000001</v>
      </c>
      <c r="AV128" s="121">
        <v>93282</v>
      </c>
      <c r="AW128" s="121">
        <v>2004137.69</v>
      </c>
      <c r="AX128" s="121">
        <v>0</v>
      </c>
      <c r="AY128" s="121">
        <v>874409.32</v>
      </c>
      <c r="AZ128" s="121">
        <v>115098.16</v>
      </c>
      <c r="BA128" s="121">
        <v>200560.07</v>
      </c>
      <c r="BB128" s="121">
        <v>96015.03</v>
      </c>
      <c r="BC128" s="121">
        <v>91425.38</v>
      </c>
      <c r="BD128" s="121">
        <v>6384</v>
      </c>
      <c r="BE128" s="121">
        <v>14816.1</v>
      </c>
      <c r="BF128" s="121">
        <v>0</v>
      </c>
      <c r="BG128" s="121">
        <v>11482</v>
      </c>
      <c r="BH128" s="121">
        <v>17246.939999999999</v>
      </c>
      <c r="BI128" s="121">
        <v>0</v>
      </c>
      <c r="BJ128" s="121">
        <v>6537.17</v>
      </c>
      <c r="BK128" s="121">
        <v>6522.83</v>
      </c>
      <c r="BL128" s="121">
        <v>79405.56</v>
      </c>
      <c r="BM128" s="121">
        <v>32417.279999999999</v>
      </c>
      <c r="BN128" s="121">
        <v>12125.05</v>
      </c>
      <c r="BO128" s="121">
        <v>70116.100000000006</v>
      </c>
      <c r="BP128" s="121">
        <v>53497.94</v>
      </c>
      <c r="BQ128" s="121">
        <v>0</v>
      </c>
      <c r="BR128" s="121">
        <v>10746.5</v>
      </c>
      <c r="BS128" s="121">
        <v>4895</v>
      </c>
      <c r="BT128" s="121">
        <v>7757.6</v>
      </c>
      <c r="BU128" s="121">
        <v>68731.600000000006</v>
      </c>
      <c r="BV128" s="121">
        <v>209409.68</v>
      </c>
      <c r="BW128" s="121">
        <v>43140.11</v>
      </c>
      <c r="BX128" s="121">
        <v>154206.96</v>
      </c>
      <c r="BY128" s="121">
        <v>0</v>
      </c>
      <c r="BZ128" s="121">
        <v>0</v>
      </c>
      <c r="CA128" s="121">
        <v>0</v>
      </c>
      <c r="CB128" s="121">
        <v>0</v>
      </c>
      <c r="CC128" s="121">
        <v>0</v>
      </c>
      <c r="CD128" s="121">
        <v>11427.25</v>
      </c>
      <c r="CE128" s="121">
        <v>10013.900000000001</v>
      </c>
      <c r="CF128" s="121">
        <v>0</v>
      </c>
      <c r="CG128" s="121">
        <v>0</v>
      </c>
      <c r="CH128" s="121">
        <v>0</v>
      </c>
      <c r="CI128" s="121">
        <v>0</v>
      </c>
      <c r="CJ128" s="121">
        <v>0</v>
      </c>
      <c r="CK128" s="121"/>
      <c r="CL128" s="121">
        <v>294223.52000000037</v>
      </c>
      <c r="CM128" s="121"/>
      <c r="CN128" s="121">
        <v>40688</v>
      </c>
      <c r="CO128" s="121">
        <v>0</v>
      </c>
      <c r="CP128" s="121">
        <v>0</v>
      </c>
      <c r="CQ128" s="121">
        <v>0</v>
      </c>
      <c r="CR128" s="118"/>
      <c r="CS128" s="33">
        <v>294223.52000000037</v>
      </c>
      <c r="CT128" s="33">
        <v>40688</v>
      </c>
      <c r="CU128" s="65">
        <v>294223.52</v>
      </c>
      <c r="CV128" s="65">
        <v>40688</v>
      </c>
      <c r="CW128" s="65">
        <v>0</v>
      </c>
      <c r="CX128" s="33">
        <v>0</v>
      </c>
      <c r="CY128" s="33">
        <v>334911.52</v>
      </c>
      <c r="CZ128" s="66">
        <v>10013.900000000001</v>
      </c>
      <c r="DA128" s="33">
        <v>10013.900000000001</v>
      </c>
      <c r="DB128" s="33">
        <v>2.0000000833533704E-2</v>
      </c>
      <c r="DC128" s="33">
        <v>0</v>
      </c>
      <c r="DF128" s="33">
        <v>3.4924596548080444E-10</v>
      </c>
      <c r="DI128" s="33">
        <v>294223.52000000037</v>
      </c>
      <c r="DJ128" s="33">
        <v>40688</v>
      </c>
      <c r="DK128" s="65">
        <v>294223.52</v>
      </c>
      <c r="DL128" s="65">
        <v>40688</v>
      </c>
      <c r="DQ128" s="115">
        <v>3302030</v>
      </c>
      <c r="DS128" s="33">
        <v>0</v>
      </c>
      <c r="DT128" s="33">
        <v>4211916.47</v>
      </c>
      <c r="DU128" s="33">
        <v>4191084.0699999994</v>
      </c>
      <c r="DV128" s="33">
        <v>20832.400000000373</v>
      </c>
      <c r="DW128" s="33">
        <v>21441.15</v>
      </c>
      <c r="DX128" s="33">
        <v>0</v>
      </c>
      <c r="DY128" s="33">
        <v>21441.15</v>
      </c>
    </row>
    <row r="129" spans="2:129" x14ac:dyDescent="0.35">
      <c r="B129" s="87">
        <v>2040</v>
      </c>
      <c r="C129" s="115">
        <v>3302040</v>
      </c>
      <c r="D129" s="116" t="s">
        <v>375</v>
      </c>
      <c r="E129" s="116" t="s">
        <v>376</v>
      </c>
      <c r="F129" s="117"/>
      <c r="G129" s="118"/>
      <c r="H129" s="115"/>
      <c r="I129" s="115"/>
      <c r="J129" s="115"/>
      <c r="K129" s="115"/>
      <c r="L129" s="115"/>
      <c r="M129" s="115"/>
      <c r="N129" s="115"/>
      <c r="O129" s="115"/>
      <c r="P129" s="115"/>
      <c r="Q129" s="115"/>
      <c r="R129" s="115"/>
      <c r="S129" s="119"/>
      <c r="T129" s="119"/>
      <c r="U129" s="119"/>
      <c r="V129" s="119"/>
      <c r="W129" s="119"/>
      <c r="X129" s="119"/>
      <c r="Y129" s="120"/>
      <c r="Z129" s="120">
        <v>-6427.52</v>
      </c>
      <c r="AA129" s="120">
        <v>-7060.06</v>
      </c>
      <c r="AB129" s="121">
        <v>2169104.7200000002</v>
      </c>
      <c r="AC129" s="121">
        <v>0</v>
      </c>
      <c r="AD129" s="121">
        <v>462269.15</v>
      </c>
      <c r="AE129" s="121">
        <v>0</v>
      </c>
      <c r="AF129" s="121">
        <v>128670.5</v>
      </c>
      <c r="AG129" s="121">
        <v>856.93</v>
      </c>
      <c r="AH129" s="121">
        <v>0</v>
      </c>
      <c r="AI129" s="121">
        <v>0</v>
      </c>
      <c r="AJ129" s="121">
        <v>335552.80999999959</v>
      </c>
      <c r="AK129" s="121">
        <v>0</v>
      </c>
      <c r="AL129" s="121">
        <v>0</v>
      </c>
      <c r="AM129" s="121">
        <v>0</v>
      </c>
      <c r="AN129" s="121">
        <v>14179.09</v>
      </c>
      <c r="AO129" s="121">
        <v>15</v>
      </c>
      <c r="AP129" s="121">
        <v>0</v>
      </c>
      <c r="AQ129" s="121">
        <v>0</v>
      </c>
      <c r="AR129" s="121">
        <v>0</v>
      </c>
      <c r="AS129" s="121">
        <v>0</v>
      </c>
      <c r="AT129" s="121">
        <v>0</v>
      </c>
      <c r="AU129" s="121">
        <v>24639.31</v>
      </c>
      <c r="AV129" s="121">
        <v>90782</v>
      </c>
      <c r="AW129" s="121">
        <v>1156392.25</v>
      </c>
      <c r="AX129" s="121">
        <v>0</v>
      </c>
      <c r="AY129" s="121">
        <v>654133.9</v>
      </c>
      <c r="AZ129" s="121">
        <v>74905.009999999995</v>
      </c>
      <c r="BA129" s="121">
        <v>174569.57</v>
      </c>
      <c r="BB129" s="121">
        <v>0</v>
      </c>
      <c r="BC129" s="121">
        <v>89999.26</v>
      </c>
      <c r="BD129" s="121">
        <v>0</v>
      </c>
      <c r="BE129" s="121">
        <v>5076.5</v>
      </c>
      <c r="BF129" s="121">
        <v>0</v>
      </c>
      <c r="BG129" s="121">
        <v>341.62</v>
      </c>
      <c r="BH129" s="121">
        <v>14073.14</v>
      </c>
      <c r="BI129" s="121">
        <v>5964.28</v>
      </c>
      <c r="BJ129" s="121">
        <v>11093.19</v>
      </c>
      <c r="BK129" s="121">
        <v>5518.65</v>
      </c>
      <c r="BL129" s="121">
        <v>67131.839999999997</v>
      </c>
      <c r="BM129" s="121">
        <v>0</v>
      </c>
      <c r="BN129" s="121">
        <v>7734.41</v>
      </c>
      <c r="BO129" s="121">
        <v>50578.35</v>
      </c>
      <c r="BP129" s="121">
        <v>19161.84</v>
      </c>
      <c r="BQ129" s="121">
        <v>4135.1000000000004</v>
      </c>
      <c r="BR129" s="121">
        <v>28852.37</v>
      </c>
      <c r="BS129" s="121">
        <v>9020</v>
      </c>
      <c r="BT129" s="121">
        <v>9240</v>
      </c>
      <c r="BU129" s="121">
        <v>134131.9</v>
      </c>
      <c r="BV129" s="121">
        <v>305543.02</v>
      </c>
      <c r="BW129" s="121">
        <v>2250</v>
      </c>
      <c r="BX129" s="121">
        <v>177055.17</v>
      </c>
      <c r="BY129" s="121">
        <v>0</v>
      </c>
      <c r="BZ129" s="121">
        <v>0</v>
      </c>
      <c r="CA129" s="121">
        <v>0</v>
      </c>
      <c r="CB129" s="121">
        <v>0</v>
      </c>
      <c r="CC129" s="121">
        <v>0</v>
      </c>
      <c r="CD129" s="121">
        <v>9109.75</v>
      </c>
      <c r="CE129" s="121">
        <v>29203.53</v>
      </c>
      <c r="CF129" s="121">
        <v>0</v>
      </c>
      <c r="CG129" s="121">
        <v>0</v>
      </c>
      <c r="CH129" s="121">
        <v>0</v>
      </c>
      <c r="CI129" s="121">
        <v>0</v>
      </c>
      <c r="CJ129" s="121">
        <v>18645.07</v>
      </c>
      <c r="CK129" s="121"/>
      <c r="CL129" s="121">
        <v>212740.62000000014</v>
      </c>
      <c r="CM129" s="121"/>
      <c r="CN129" s="121">
        <v>12608.149999999998</v>
      </c>
      <c r="CO129" s="121">
        <v>0</v>
      </c>
      <c r="CP129" s="121">
        <v>0</v>
      </c>
      <c r="CQ129" s="121">
        <v>0</v>
      </c>
      <c r="CR129" s="118"/>
      <c r="CS129" s="33">
        <v>212740.62000000014</v>
      </c>
      <c r="CT129" s="33">
        <v>12608.149999999998</v>
      </c>
      <c r="CU129" s="65">
        <v>212740.62</v>
      </c>
      <c r="CV129" s="65">
        <v>12608.15</v>
      </c>
      <c r="CW129" s="65">
        <v>0</v>
      </c>
      <c r="CX129" s="33">
        <v>0</v>
      </c>
      <c r="CY129" s="33">
        <v>225348.77</v>
      </c>
      <c r="CZ129" s="66">
        <v>26080.239999999998</v>
      </c>
      <c r="DA129" s="33">
        <v>26080.239999999998</v>
      </c>
      <c r="DB129" s="33">
        <v>1.0000000387663022E-2</v>
      </c>
      <c r="DC129" s="33">
        <v>0</v>
      </c>
      <c r="DF129" s="33">
        <v>1.4006218407303095E-10</v>
      </c>
      <c r="DI129" s="33">
        <v>212740.62000000014</v>
      </c>
      <c r="DJ129" s="33">
        <v>12608.149999999998</v>
      </c>
      <c r="DK129" s="65">
        <v>212740.62</v>
      </c>
      <c r="DL129" s="65">
        <v>12608.15</v>
      </c>
      <c r="DQ129" s="115">
        <v>3302040</v>
      </c>
      <c r="DS129" s="33">
        <v>0</v>
      </c>
      <c r="DT129" s="33">
        <v>3226069.51</v>
      </c>
      <c r="DU129" s="33">
        <v>3006901.3699999996</v>
      </c>
      <c r="DV129" s="33">
        <v>219168.14000000013</v>
      </c>
      <c r="DW129" s="33">
        <v>38313.279999999999</v>
      </c>
      <c r="DX129" s="33">
        <v>18645.07</v>
      </c>
      <c r="DY129" s="33">
        <v>19668.21</v>
      </c>
    </row>
    <row r="130" spans="2:129" x14ac:dyDescent="0.35">
      <c r="B130" s="87">
        <v>2053</v>
      </c>
      <c r="C130" s="115">
        <v>3302053</v>
      </c>
      <c r="D130" s="116" t="s">
        <v>377</v>
      </c>
      <c r="E130" s="116" t="s">
        <v>378</v>
      </c>
      <c r="F130" s="117"/>
      <c r="G130" s="118"/>
      <c r="H130" s="115"/>
      <c r="I130" s="115"/>
      <c r="J130" s="115"/>
      <c r="K130" s="115"/>
      <c r="L130" s="115"/>
      <c r="M130" s="115"/>
      <c r="N130" s="115"/>
      <c r="O130" s="115"/>
      <c r="P130" s="115"/>
      <c r="Q130" s="115"/>
      <c r="R130" s="115"/>
      <c r="S130" s="119"/>
      <c r="T130" s="119"/>
      <c r="U130" s="119"/>
      <c r="V130" s="119"/>
      <c r="W130" s="119"/>
      <c r="X130" s="119"/>
      <c r="Y130" s="120">
        <v>299686.53999999998</v>
      </c>
      <c r="Z130" s="120"/>
      <c r="AA130" s="120">
        <v>12438.26</v>
      </c>
      <c r="AB130" s="121">
        <v>2261803.85</v>
      </c>
      <c r="AC130" s="121">
        <v>0</v>
      </c>
      <c r="AD130" s="121">
        <v>111151.5</v>
      </c>
      <c r="AE130" s="121">
        <v>0</v>
      </c>
      <c r="AF130" s="121">
        <v>208251</v>
      </c>
      <c r="AG130" s="121">
        <v>3256.93</v>
      </c>
      <c r="AH130" s="121">
        <v>0</v>
      </c>
      <c r="AI130" s="121">
        <v>0</v>
      </c>
      <c r="AJ130" s="121">
        <v>222212.19000000038</v>
      </c>
      <c r="AK130" s="121">
        <v>0</v>
      </c>
      <c r="AL130" s="121">
        <v>0</v>
      </c>
      <c r="AM130" s="121">
        <v>0</v>
      </c>
      <c r="AN130" s="121">
        <v>40909.01</v>
      </c>
      <c r="AO130" s="121">
        <v>0</v>
      </c>
      <c r="AP130" s="121">
        <v>0</v>
      </c>
      <c r="AQ130" s="121">
        <v>0</v>
      </c>
      <c r="AR130" s="121">
        <v>0</v>
      </c>
      <c r="AS130" s="121">
        <v>0</v>
      </c>
      <c r="AT130" s="121">
        <v>0</v>
      </c>
      <c r="AU130" s="121">
        <v>33918.76</v>
      </c>
      <c r="AV130" s="121">
        <v>20774</v>
      </c>
      <c r="AW130" s="121">
        <v>1331251.77</v>
      </c>
      <c r="AX130" s="121">
        <v>523</v>
      </c>
      <c r="AY130" s="121">
        <v>538741.06000000006</v>
      </c>
      <c r="AZ130" s="121">
        <v>85998.36</v>
      </c>
      <c r="BA130" s="121">
        <v>129649.33</v>
      </c>
      <c r="BB130" s="121">
        <v>0</v>
      </c>
      <c r="BC130" s="121">
        <v>58419.49</v>
      </c>
      <c r="BD130" s="121">
        <v>2739.71</v>
      </c>
      <c r="BE130" s="121">
        <v>9754.5</v>
      </c>
      <c r="BF130" s="121">
        <v>17.54</v>
      </c>
      <c r="BG130" s="121">
        <v>332.88</v>
      </c>
      <c r="BH130" s="121">
        <v>46888.54</v>
      </c>
      <c r="BI130" s="121">
        <v>0</v>
      </c>
      <c r="BJ130" s="121">
        <v>4062.31</v>
      </c>
      <c r="BK130" s="121">
        <v>11122.1</v>
      </c>
      <c r="BL130" s="121">
        <v>89855.05</v>
      </c>
      <c r="BM130" s="121">
        <v>19885.169999999998</v>
      </c>
      <c r="BN130" s="121">
        <v>7834.56</v>
      </c>
      <c r="BO130" s="121">
        <v>93940.09</v>
      </c>
      <c r="BP130" s="121">
        <v>46711.28</v>
      </c>
      <c r="BQ130" s="121">
        <v>0</v>
      </c>
      <c r="BR130" s="121">
        <v>13548.72</v>
      </c>
      <c r="BS130" s="121">
        <v>4895</v>
      </c>
      <c r="BT130" s="121">
        <v>6255</v>
      </c>
      <c r="BU130" s="121">
        <v>2886.34</v>
      </c>
      <c r="BV130" s="121">
        <v>164162.91</v>
      </c>
      <c r="BW130" s="121">
        <v>115894.83</v>
      </c>
      <c r="BX130" s="121">
        <v>53775.37</v>
      </c>
      <c r="BY130" s="121">
        <v>0</v>
      </c>
      <c r="BZ130" s="121">
        <v>0</v>
      </c>
      <c r="CA130" s="121">
        <v>0</v>
      </c>
      <c r="CB130" s="121">
        <v>0</v>
      </c>
      <c r="CC130" s="121">
        <v>0</v>
      </c>
      <c r="CD130" s="121">
        <v>9377.5</v>
      </c>
      <c r="CE130" s="121">
        <v>14313.56</v>
      </c>
      <c r="CF130" s="121">
        <v>0</v>
      </c>
      <c r="CG130" s="121">
        <v>0</v>
      </c>
      <c r="CH130" s="121">
        <v>0</v>
      </c>
      <c r="CI130" s="121">
        <v>0</v>
      </c>
      <c r="CJ130" s="121">
        <v>9325</v>
      </c>
      <c r="CK130" s="121"/>
      <c r="CL130" s="121">
        <v>362818.87000000005</v>
      </c>
      <c r="CM130" s="121"/>
      <c r="CN130" s="121">
        <v>26804.32</v>
      </c>
      <c r="CO130" s="121">
        <v>0</v>
      </c>
      <c r="CP130" s="121">
        <v>0</v>
      </c>
      <c r="CQ130" s="121">
        <v>0</v>
      </c>
      <c r="CR130" s="118"/>
      <c r="CS130" s="33">
        <v>362818.87000000005</v>
      </c>
      <c r="CT130" s="33">
        <v>26804.32</v>
      </c>
      <c r="CU130" s="65">
        <v>362818.87</v>
      </c>
      <c r="CV130" s="65">
        <v>26804.32</v>
      </c>
      <c r="CW130" s="65">
        <v>0</v>
      </c>
      <c r="CX130" s="33">
        <v>0</v>
      </c>
      <c r="CY130" s="33">
        <v>389623.19</v>
      </c>
      <c r="CZ130" s="66">
        <v>14313.56</v>
      </c>
      <c r="DA130" s="33">
        <v>14313.56</v>
      </c>
      <c r="DB130" s="33">
        <v>3.9999999629799277E-2</v>
      </c>
      <c r="DC130" s="33">
        <v>0</v>
      </c>
      <c r="DF130" s="33">
        <v>6.5483618527650833E-11</v>
      </c>
      <c r="DI130" s="33">
        <v>362818.87000000005</v>
      </c>
      <c r="DJ130" s="33">
        <v>26804.32</v>
      </c>
      <c r="DK130" s="65">
        <v>362818.87</v>
      </c>
      <c r="DL130" s="65">
        <v>26804.32</v>
      </c>
      <c r="DQ130" s="115">
        <v>3302053</v>
      </c>
      <c r="DS130" s="33">
        <v>0</v>
      </c>
      <c r="DT130" s="33">
        <v>2902277.24</v>
      </c>
      <c r="DU130" s="33">
        <v>2839144.91</v>
      </c>
      <c r="DV130" s="33">
        <v>63132.330000000075</v>
      </c>
      <c r="DW130" s="33">
        <v>23691.059999999998</v>
      </c>
      <c r="DX130" s="33">
        <v>9325</v>
      </c>
      <c r="DY130" s="33">
        <v>14366.059999999998</v>
      </c>
    </row>
    <row r="131" spans="2:129" x14ac:dyDescent="0.35">
      <c r="B131" s="87">
        <v>2054</v>
      </c>
      <c r="C131" s="115">
        <v>3302054</v>
      </c>
      <c r="D131" s="116" t="s">
        <v>379</v>
      </c>
      <c r="E131" s="116" t="s">
        <v>380</v>
      </c>
      <c r="F131" s="117"/>
      <c r="G131" s="118"/>
      <c r="H131" s="115"/>
      <c r="I131" s="115"/>
      <c r="J131" s="115"/>
      <c r="K131" s="115"/>
      <c r="L131" s="115"/>
      <c r="M131" s="115"/>
      <c r="N131" s="115"/>
      <c r="O131" s="115"/>
      <c r="P131" s="115"/>
      <c r="Q131" s="115"/>
      <c r="R131" s="115"/>
      <c r="S131" s="119"/>
      <c r="T131" s="119"/>
      <c r="U131" s="119"/>
      <c r="V131" s="119"/>
      <c r="W131" s="119"/>
      <c r="X131" s="119"/>
      <c r="Y131" s="120">
        <v>73643.62</v>
      </c>
      <c r="Z131" s="120"/>
      <c r="AA131" s="120">
        <v>9832.51</v>
      </c>
      <c r="AB131" s="121">
        <v>1872439.32</v>
      </c>
      <c r="AC131" s="121">
        <v>0</v>
      </c>
      <c r="AD131" s="121">
        <v>153921.35</v>
      </c>
      <c r="AE131" s="121">
        <v>0</v>
      </c>
      <c r="AF131" s="121">
        <v>108256.5</v>
      </c>
      <c r="AG131" s="121">
        <v>5656.93</v>
      </c>
      <c r="AH131" s="121">
        <v>0</v>
      </c>
      <c r="AI131" s="121">
        <v>0</v>
      </c>
      <c r="AJ131" s="121">
        <v>67400.59</v>
      </c>
      <c r="AK131" s="121">
        <v>143312.48000000001</v>
      </c>
      <c r="AL131" s="121">
        <v>0</v>
      </c>
      <c r="AM131" s="121">
        <v>0</v>
      </c>
      <c r="AN131" s="121">
        <v>6079.27</v>
      </c>
      <c r="AO131" s="121">
        <v>0</v>
      </c>
      <c r="AP131" s="121">
        <v>0</v>
      </c>
      <c r="AQ131" s="121">
        <v>0</v>
      </c>
      <c r="AR131" s="121">
        <v>0</v>
      </c>
      <c r="AS131" s="121">
        <v>0</v>
      </c>
      <c r="AT131" s="121">
        <v>0</v>
      </c>
      <c r="AU131" s="121">
        <v>15871.88</v>
      </c>
      <c r="AV131" s="121">
        <v>151979</v>
      </c>
      <c r="AW131" s="121">
        <v>1007380.9</v>
      </c>
      <c r="AX131" s="121">
        <v>63497.16</v>
      </c>
      <c r="AY131" s="121">
        <v>376384.64</v>
      </c>
      <c r="AZ131" s="121">
        <v>56576</v>
      </c>
      <c r="BA131" s="121">
        <v>92227.12</v>
      </c>
      <c r="BB131" s="121">
        <v>181167.17</v>
      </c>
      <c r="BC131" s="121">
        <v>61426.46</v>
      </c>
      <c r="BD131" s="121">
        <v>310</v>
      </c>
      <c r="BE131" s="121">
        <v>3189.38</v>
      </c>
      <c r="BF131" s="121">
        <v>0</v>
      </c>
      <c r="BG131" s="121">
        <v>0</v>
      </c>
      <c r="BH131" s="121">
        <v>27508.31</v>
      </c>
      <c r="BI131" s="121">
        <v>1070</v>
      </c>
      <c r="BJ131" s="121">
        <v>1735.95</v>
      </c>
      <c r="BK131" s="121">
        <v>6877.15</v>
      </c>
      <c r="BL131" s="121">
        <v>42944</v>
      </c>
      <c r="BM131" s="121">
        <v>13818.51</v>
      </c>
      <c r="BN131" s="121">
        <v>8616.7000000000007</v>
      </c>
      <c r="BO131" s="121">
        <v>40103.099999999708</v>
      </c>
      <c r="BP131" s="121">
        <v>7863.08</v>
      </c>
      <c r="BQ131" s="121">
        <v>0</v>
      </c>
      <c r="BR131" s="121">
        <v>11744.86</v>
      </c>
      <c r="BS131" s="121">
        <v>4895</v>
      </c>
      <c r="BT131" s="121">
        <v>0</v>
      </c>
      <c r="BU131" s="121">
        <v>118601.67</v>
      </c>
      <c r="BV131" s="121">
        <v>194833.67</v>
      </c>
      <c r="BW131" s="121">
        <v>17043.25</v>
      </c>
      <c r="BX131" s="121">
        <v>60520.04</v>
      </c>
      <c r="BY131" s="121">
        <v>0</v>
      </c>
      <c r="BZ131" s="121">
        <v>0</v>
      </c>
      <c r="CA131" s="121">
        <v>0</v>
      </c>
      <c r="CB131" s="121">
        <v>0</v>
      </c>
      <c r="CC131" s="121">
        <v>0</v>
      </c>
      <c r="CD131" s="121">
        <v>8394.25</v>
      </c>
      <c r="CE131" s="121">
        <v>17887.59</v>
      </c>
      <c r="CF131" s="121">
        <v>0</v>
      </c>
      <c r="CG131" s="121">
        <v>0</v>
      </c>
      <c r="CH131" s="121">
        <v>0</v>
      </c>
      <c r="CI131" s="121">
        <v>0</v>
      </c>
      <c r="CJ131" s="121">
        <v>1584.71</v>
      </c>
      <c r="CK131" s="121"/>
      <c r="CL131" s="121">
        <v>198226.82000000018</v>
      </c>
      <c r="CM131" s="121"/>
      <c r="CN131" s="121">
        <v>34529.64</v>
      </c>
      <c r="CO131" s="121">
        <v>0</v>
      </c>
      <c r="CP131" s="121">
        <v>0</v>
      </c>
      <c r="CQ131" s="121">
        <v>0</v>
      </c>
      <c r="CR131" s="118"/>
      <c r="CS131" s="33">
        <v>198226.82000000018</v>
      </c>
      <c r="CT131" s="33">
        <v>34529.64</v>
      </c>
      <c r="CU131" s="65">
        <v>198226.82</v>
      </c>
      <c r="CV131" s="65">
        <v>34529.64</v>
      </c>
      <c r="CW131" s="65">
        <v>0</v>
      </c>
      <c r="CX131" s="33">
        <v>0</v>
      </c>
      <c r="CY131" s="33">
        <v>232756.46000000002</v>
      </c>
      <c r="CZ131" s="66">
        <v>17887.59</v>
      </c>
      <c r="DA131" s="33">
        <v>17887.59</v>
      </c>
      <c r="DB131" s="33">
        <v>0</v>
      </c>
      <c r="DC131" s="33">
        <v>-2.9103830456733704E-10</v>
      </c>
      <c r="DF131" s="33">
        <v>1.8917489796876907E-10</v>
      </c>
      <c r="DI131" s="33">
        <v>198226.82000000018</v>
      </c>
      <c r="DJ131" s="33">
        <v>34529.64</v>
      </c>
      <c r="DK131" s="65">
        <v>198226.82</v>
      </c>
      <c r="DL131" s="65">
        <v>34529.64</v>
      </c>
      <c r="DQ131" s="115">
        <v>3302054</v>
      </c>
      <c r="DS131" s="33">
        <v>0</v>
      </c>
      <c r="DT131" s="33">
        <v>2524917.3199999998</v>
      </c>
      <c r="DU131" s="33">
        <v>2400334.1199999996</v>
      </c>
      <c r="DV131" s="33">
        <v>124583.20000000019</v>
      </c>
      <c r="DW131" s="33">
        <v>26281.84</v>
      </c>
      <c r="DX131" s="33">
        <v>1584.71</v>
      </c>
      <c r="DY131" s="33">
        <v>24697.13</v>
      </c>
    </row>
    <row r="132" spans="2:129" x14ac:dyDescent="0.35">
      <c r="B132" s="87">
        <v>2067</v>
      </c>
      <c r="C132" s="115">
        <v>3302067</v>
      </c>
      <c r="D132" s="116" t="s">
        <v>381</v>
      </c>
      <c r="E132" s="116" t="s">
        <v>382</v>
      </c>
      <c r="F132" s="117"/>
      <c r="G132" s="118"/>
      <c r="H132" s="115"/>
      <c r="I132" s="115"/>
      <c r="J132" s="115"/>
      <c r="K132" s="115"/>
      <c r="L132" s="115"/>
      <c r="M132" s="115"/>
      <c r="N132" s="115"/>
      <c r="O132" s="115"/>
      <c r="P132" s="115"/>
      <c r="Q132" s="115"/>
      <c r="R132" s="115"/>
      <c r="S132" s="119"/>
      <c r="T132" s="119"/>
      <c r="U132" s="119"/>
      <c r="V132" s="119"/>
      <c r="W132" s="119"/>
      <c r="X132" s="119"/>
      <c r="Y132" s="120">
        <v>449427.74</v>
      </c>
      <c r="Z132" s="120"/>
      <c r="AA132" s="120">
        <v>-13851.33</v>
      </c>
      <c r="AB132" s="121">
        <v>2245395.35</v>
      </c>
      <c r="AC132" s="121">
        <v>0</v>
      </c>
      <c r="AD132" s="121">
        <v>9450</v>
      </c>
      <c r="AE132" s="121">
        <v>0</v>
      </c>
      <c r="AF132" s="121">
        <v>302640</v>
      </c>
      <c r="AG132" s="121">
        <v>9427.7199999999993</v>
      </c>
      <c r="AH132" s="121">
        <v>0</v>
      </c>
      <c r="AI132" s="121">
        <v>0</v>
      </c>
      <c r="AJ132" s="121">
        <v>34170.709999999017</v>
      </c>
      <c r="AK132" s="121">
        <v>0</v>
      </c>
      <c r="AL132" s="121">
        <v>0</v>
      </c>
      <c r="AM132" s="121">
        <v>0</v>
      </c>
      <c r="AN132" s="121">
        <v>2055.4699999999998</v>
      </c>
      <c r="AO132" s="121">
        <v>0</v>
      </c>
      <c r="AP132" s="121">
        <v>0</v>
      </c>
      <c r="AQ132" s="121">
        <v>0</v>
      </c>
      <c r="AR132" s="121">
        <v>0</v>
      </c>
      <c r="AS132" s="121">
        <v>0</v>
      </c>
      <c r="AT132" s="121">
        <v>0</v>
      </c>
      <c r="AU132" s="121">
        <v>22009.38</v>
      </c>
      <c r="AV132" s="121">
        <v>48913</v>
      </c>
      <c r="AW132" s="121">
        <v>1250996.28</v>
      </c>
      <c r="AX132" s="121">
        <v>0</v>
      </c>
      <c r="AY132" s="121">
        <v>197011.97</v>
      </c>
      <c r="AZ132" s="121">
        <v>82695.48</v>
      </c>
      <c r="BA132" s="121">
        <v>235841.03</v>
      </c>
      <c r="BB132" s="121">
        <v>0</v>
      </c>
      <c r="BC132" s="121">
        <v>91599.21</v>
      </c>
      <c r="BD132" s="121">
        <v>60</v>
      </c>
      <c r="BE132" s="121">
        <v>9201</v>
      </c>
      <c r="BF132" s="121">
        <v>0</v>
      </c>
      <c r="BG132" s="121">
        <v>0</v>
      </c>
      <c r="BH132" s="121">
        <v>32312.5</v>
      </c>
      <c r="BI132" s="121">
        <v>2455.52</v>
      </c>
      <c r="BJ132" s="121">
        <v>4912</v>
      </c>
      <c r="BK132" s="121">
        <v>6125.93</v>
      </c>
      <c r="BL132" s="121">
        <v>95264.38</v>
      </c>
      <c r="BM132" s="121">
        <v>0</v>
      </c>
      <c r="BN132" s="121">
        <v>9112.76</v>
      </c>
      <c r="BO132" s="121">
        <v>78329.19</v>
      </c>
      <c r="BP132" s="121">
        <v>29988.32</v>
      </c>
      <c r="BQ132" s="121">
        <v>15269.59</v>
      </c>
      <c r="BR132" s="121">
        <v>35872.42</v>
      </c>
      <c r="BS132" s="121">
        <v>4895</v>
      </c>
      <c r="BT132" s="121">
        <v>7452.8</v>
      </c>
      <c r="BU132" s="121">
        <v>166198.45000000001</v>
      </c>
      <c r="BV132" s="121">
        <v>131072.49</v>
      </c>
      <c r="BW132" s="121">
        <v>2250</v>
      </c>
      <c r="BX132" s="121">
        <v>123514.16</v>
      </c>
      <c r="BY132" s="121">
        <v>0</v>
      </c>
      <c r="BZ132" s="121">
        <v>0</v>
      </c>
      <c r="CA132" s="121">
        <v>36032.14</v>
      </c>
      <c r="CB132" s="121">
        <v>0</v>
      </c>
      <c r="CC132" s="121">
        <v>0</v>
      </c>
      <c r="CD132" s="121">
        <v>8349.25</v>
      </c>
      <c r="CE132" s="121">
        <v>0</v>
      </c>
      <c r="CF132" s="121">
        <v>36032.14</v>
      </c>
      <c r="CG132" s="121">
        <v>0</v>
      </c>
      <c r="CH132" s="121">
        <v>0</v>
      </c>
      <c r="CI132" s="121">
        <v>8349.25</v>
      </c>
      <c r="CJ132" s="121">
        <v>22180.81</v>
      </c>
      <c r="CK132" s="121">
        <v>0</v>
      </c>
      <c r="CL132" s="121">
        <v>475026.74999999977</v>
      </c>
      <c r="CM132" s="121"/>
      <c r="CN132" s="121">
        <v>0</v>
      </c>
      <c r="CO132" s="121">
        <v>0</v>
      </c>
      <c r="CP132" s="121">
        <v>0</v>
      </c>
      <c r="CQ132" s="121">
        <v>0</v>
      </c>
      <c r="CR132" s="118"/>
      <c r="CS132" s="33">
        <v>475026.74999999977</v>
      </c>
      <c r="CT132" s="33">
        <v>0</v>
      </c>
      <c r="CU132" s="65">
        <v>511058.89</v>
      </c>
      <c r="CV132" s="65">
        <v>-36032.14</v>
      </c>
      <c r="CW132" s="65">
        <v>-36032.140000000247</v>
      </c>
      <c r="CX132" s="33">
        <v>-36032.14</v>
      </c>
      <c r="CY132" s="33">
        <v>475026.75</v>
      </c>
      <c r="CZ132" s="66">
        <v>0</v>
      </c>
      <c r="DA132" s="33">
        <v>0</v>
      </c>
      <c r="DB132" s="33">
        <v>11929.430000000983</v>
      </c>
      <c r="DC132" s="33">
        <v>0</v>
      </c>
      <c r="DD132" s="65">
        <v>-36032.14</v>
      </c>
      <c r="DF132" s="33">
        <v>-2.4738255888223648E-10</v>
      </c>
      <c r="DI132" s="33">
        <v>475026.74999999977</v>
      </c>
      <c r="DJ132" s="33">
        <v>0</v>
      </c>
      <c r="DK132" s="65">
        <v>511058.89</v>
      </c>
      <c r="DL132" s="65">
        <v>-36032.14</v>
      </c>
      <c r="DQ132" s="115">
        <v>3302067</v>
      </c>
      <c r="DS132" s="33">
        <v>0</v>
      </c>
      <c r="DT132" s="33">
        <v>2674061.6299999994</v>
      </c>
      <c r="DU132" s="33">
        <v>2648462.6199999996</v>
      </c>
      <c r="DV132" s="33">
        <v>25599.009999999776</v>
      </c>
      <c r="DW132" s="33">
        <v>44381.39</v>
      </c>
      <c r="DX132" s="33">
        <v>30530.06</v>
      </c>
      <c r="DY132" s="33">
        <v>13851.329999999998</v>
      </c>
    </row>
    <row r="133" spans="2:129" x14ac:dyDescent="0.35">
      <c r="B133" s="87">
        <v>2079</v>
      </c>
      <c r="C133" s="115">
        <v>3302079</v>
      </c>
      <c r="D133" s="116" t="s">
        <v>383</v>
      </c>
      <c r="E133" s="116" t="s">
        <v>384</v>
      </c>
      <c r="F133" s="117"/>
      <c r="G133" s="118"/>
      <c r="H133" s="115"/>
      <c r="I133" s="115"/>
      <c r="J133" s="115"/>
      <c r="K133" s="115"/>
      <c r="L133" s="115"/>
      <c r="M133" s="115"/>
      <c r="N133" s="115"/>
      <c r="O133" s="115"/>
      <c r="P133" s="115"/>
      <c r="Q133" s="115"/>
      <c r="R133" s="115"/>
      <c r="S133" s="119"/>
      <c r="T133" s="119"/>
      <c r="U133" s="119"/>
      <c r="V133" s="119"/>
      <c r="W133" s="119"/>
      <c r="X133" s="119"/>
      <c r="Y133" s="120"/>
      <c r="Z133" s="120">
        <v>-70772.070000000007</v>
      </c>
      <c r="AA133" s="120">
        <v>-18937.71</v>
      </c>
      <c r="AB133" s="121">
        <v>1940157.01</v>
      </c>
      <c r="AC133" s="121">
        <v>0</v>
      </c>
      <c r="AD133" s="121">
        <v>103735</v>
      </c>
      <c r="AE133" s="121">
        <v>0</v>
      </c>
      <c r="AF133" s="121">
        <v>264811</v>
      </c>
      <c r="AG133" s="121">
        <v>1056.93</v>
      </c>
      <c r="AH133" s="121">
        <v>0</v>
      </c>
      <c r="AI133" s="121">
        <v>0</v>
      </c>
      <c r="AJ133" s="121">
        <v>0</v>
      </c>
      <c r="AK133" s="121">
        <v>0</v>
      </c>
      <c r="AL133" s="121">
        <v>0</v>
      </c>
      <c r="AM133" s="121">
        <v>0</v>
      </c>
      <c r="AN133" s="121">
        <v>6307.23</v>
      </c>
      <c r="AO133" s="121">
        <v>0</v>
      </c>
      <c r="AP133" s="121">
        <v>0</v>
      </c>
      <c r="AQ133" s="121">
        <v>0</v>
      </c>
      <c r="AR133" s="121">
        <v>0</v>
      </c>
      <c r="AS133" s="121">
        <v>0</v>
      </c>
      <c r="AT133" s="121">
        <v>0</v>
      </c>
      <c r="AU133" s="121">
        <v>13774.26</v>
      </c>
      <c r="AV133" s="121">
        <v>50326</v>
      </c>
      <c r="AW133" s="121">
        <v>1210225.25</v>
      </c>
      <c r="AX133" s="121">
        <v>0</v>
      </c>
      <c r="AY133" s="121">
        <v>323735.31</v>
      </c>
      <c r="AZ133" s="121">
        <v>25376.18</v>
      </c>
      <c r="BA133" s="121">
        <v>217514.46</v>
      </c>
      <c r="BB133" s="121">
        <v>0</v>
      </c>
      <c r="BC133" s="121">
        <v>26739.78</v>
      </c>
      <c r="BD133" s="121">
        <v>124.35</v>
      </c>
      <c r="BE133" s="121">
        <v>8354.98</v>
      </c>
      <c r="BF133" s="121">
        <v>0</v>
      </c>
      <c r="BG133" s="121">
        <v>0</v>
      </c>
      <c r="BH133" s="121">
        <v>1847.03</v>
      </c>
      <c r="BI133" s="121">
        <v>0</v>
      </c>
      <c r="BJ133" s="121">
        <v>7003.12</v>
      </c>
      <c r="BK133" s="121">
        <v>4448.72</v>
      </c>
      <c r="BL133" s="121">
        <v>48997.91</v>
      </c>
      <c r="BM133" s="121">
        <v>0</v>
      </c>
      <c r="BN133" s="121">
        <v>17420.43</v>
      </c>
      <c r="BO133" s="121">
        <v>41309.619999999588</v>
      </c>
      <c r="BP133" s="121">
        <v>175</v>
      </c>
      <c r="BQ133" s="121">
        <v>36.06</v>
      </c>
      <c r="BR133" s="121">
        <v>41145</v>
      </c>
      <c r="BS133" s="121">
        <v>8211</v>
      </c>
      <c r="BT133" s="121">
        <v>9720</v>
      </c>
      <c r="BU133" s="121">
        <v>132068.60999999999</v>
      </c>
      <c r="BV133" s="121">
        <v>124277.41</v>
      </c>
      <c r="BW133" s="121">
        <v>3110</v>
      </c>
      <c r="BX133" s="121">
        <v>164961.53</v>
      </c>
      <c r="BY133" s="121">
        <v>0</v>
      </c>
      <c r="BZ133" s="121">
        <v>0</v>
      </c>
      <c r="CA133" s="121">
        <v>7912.71</v>
      </c>
      <c r="CB133" s="121">
        <v>0</v>
      </c>
      <c r="CC133" s="121">
        <v>0</v>
      </c>
      <c r="CD133" s="121">
        <v>8432.5</v>
      </c>
      <c r="CE133" s="121">
        <v>2592.4999999999991</v>
      </c>
      <c r="CF133" s="121">
        <v>7912.71</v>
      </c>
      <c r="CG133" s="121">
        <v>0</v>
      </c>
      <c r="CH133" s="121">
        <v>0</v>
      </c>
      <c r="CI133" s="121">
        <v>0</v>
      </c>
      <c r="CJ133" s="121">
        <v>0</v>
      </c>
      <c r="CK133" s="121"/>
      <c r="CL133" s="121">
        <v>-115319.0999999998</v>
      </c>
      <c r="CM133" s="121"/>
      <c r="CN133" s="121">
        <v>0</v>
      </c>
      <c r="CO133" s="121">
        <v>0</v>
      </c>
      <c r="CP133" s="121">
        <v>0</v>
      </c>
      <c r="CQ133" s="121">
        <v>0</v>
      </c>
      <c r="CR133" s="118"/>
      <c r="CS133" s="33">
        <v>-115319.0999999998</v>
      </c>
      <c r="CT133" s="33">
        <v>0</v>
      </c>
      <c r="CU133" s="65">
        <v>-107406.39</v>
      </c>
      <c r="CV133" s="65">
        <v>-7912.71</v>
      </c>
      <c r="CW133" s="65">
        <v>-7912.7099999998027</v>
      </c>
      <c r="CX133" s="33">
        <v>-7912.71</v>
      </c>
      <c r="CY133" s="33">
        <v>-115319.1</v>
      </c>
      <c r="CZ133" s="66">
        <v>2592.4999999999991</v>
      </c>
      <c r="DA133" s="33">
        <v>2592.4999999999991</v>
      </c>
      <c r="DB133" s="33">
        <v>0</v>
      </c>
      <c r="DC133" s="33">
        <v>-30843.870000000417</v>
      </c>
      <c r="DD133" s="65">
        <v>-7912.71</v>
      </c>
      <c r="DF133" s="33">
        <v>1.9736035028472543E-10</v>
      </c>
      <c r="DI133" s="33">
        <v>-115319.0999999998</v>
      </c>
      <c r="DJ133" s="33">
        <v>0</v>
      </c>
      <c r="DK133" s="65">
        <v>-107406.39</v>
      </c>
      <c r="DL133" s="65">
        <v>-7912.71</v>
      </c>
      <c r="DQ133" s="115">
        <v>3302079</v>
      </c>
      <c r="DS133" s="33">
        <v>0</v>
      </c>
      <c r="DT133" s="33">
        <v>2380167.4299999997</v>
      </c>
      <c r="DU133" s="33">
        <v>2424714.4599999995</v>
      </c>
      <c r="DV133" s="33">
        <v>-44547.029999999795</v>
      </c>
      <c r="DW133" s="33">
        <v>18937.71</v>
      </c>
      <c r="DX133" s="33">
        <v>0</v>
      </c>
      <c r="DY133" s="33">
        <v>18937.71</v>
      </c>
    </row>
    <row r="134" spans="2:129" x14ac:dyDescent="0.35">
      <c r="B134" s="87">
        <v>2087</v>
      </c>
      <c r="C134" s="115">
        <v>3302087</v>
      </c>
      <c r="D134" s="116" t="s">
        <v>385</v>
      </c>
      <c r="E134" s="116" t="s">
        <v>386</v>
      </c>
      <c r="F134" s="117"/>
      <c r="G134" s="118"/>
      <c r="H134" s="115"/>
      <c r="I134" s="115"/>
      <c r="J134" s="115"/>
      <c r="K134" s="115"/>
      <c r="L134" s="115"/>
      <c r="M134" s="115"/>
      <c r="N134" s="115"/>
      <c r="O134" s="115"/>
      <c r="P134" s="115"/>
      <c r="Q134" s="115"/>
      <c r="R134" s="115"/>
      <c r="S134" s="119"/>
      <c r="T134" s="119"/>
      <c r="U134" s="119"/>
      <c r="V134" s="119"/>
      <c r="W134" s="119"/>
      <c r="X134" s="119"/>
      <c r="Y134" s="120">
        <v>169403.7</v>
      </c>
      <c r="Z134" s="120"/>
      <c r="AA134" s="120">
        <v>-4965.05</v>
      </c>
      <c r="AB134" s="121">
        <v>2072024.32</v>
      </c>
      <c r="AC134" s="121">
        <v>0</v>
      </c>
      <c r="AD134" s="121">
        <v>88511.17</v>
      </c>
      <c r="AE134" s="121">
        <v>0</v>
      </c>
      <c r="AF134" s="121">
        <v>274996.5</v>
      </c>
      <c r="AG134" s="121">
        <v>9770.7900000000009</v>
      </c>
      <c r="AH134" s="121">
        <v>0</v>
      </c>
      <c r="AI134" s="121">
        <v>0</v>
      </c>
      <c r="AJ134" s="121">
        <v>43527.400000000198</v>
      </c>
      <c r="AK134" s="121">
        <v>0</v>
      </c>
      <c r="AL134" s="121">
        <v>0</v>
      </c>
      <c r="AM134" s="121">
        <v>0</v>
      </c>
      <c r="AN134" s="121">
        <v>0</v>
      </c>
      <c r="AO134" s="121">
        <v>0</v>
      </c>
      <c r="AP134" s="121">
        <v>0</v>
      </c>
      <c r="AQ134" s="121">
        <v>0</v>
      </c>
      <c r="AR134" s="121">
        <v>0</v>
      </c>
      <c r="AS134" s="121">
        <v>0</v>
      </c>
      <c r="AT134" s="121">
        <v>0</v>
      </c>
      <c r="AU134" s="121">
        <v>36524.26</v>
      </c>
      <c r="AV134" s="121">
        <v>64378</v>
      </c>
      <c r="AW134" s="121">
        <v>1203038.2</v>
      </c>
      <c r="AX134" s="121">
        <v>17739.47</v>
      </c>
      <c r="AY134" s="121">
        <v>309238.13</v>
      </c>
      <c r="AZ134" s="121">
        <v>84912.04</v>
      </c>
      <c r="BA134" s="121">
        <v>167332.85</v>
      </c>
      <c r="BB134" s="121">
        <v>0</v>
      </c>
      <c r="BC134" s="121">
        <v>84945.87</v>
      </c>
      <c r="BD134" s="121">
        <v>3556.62</v>
      </c>
      <c r="BE134" s="121">
        <v>0</v>
      </c>
      <c r="BF134" s="121">
        <v>0</v>
      </c>
      <c r="BG134" s="121">
        <v>0</v>
      </c>
      <c r="BH134" s="121">
        <v>56861.17</v>
      </c>
      <c r="BI134" s="121">
        <v>822.97</v>
      </c>
      <c r="BJ134" s="121">
        <v>12541.74</v>
      </c>
      <c r="BK134" s="121">
        <v>12679.76</v>
      </c>
      <c r="BL134" s="121">
        <v>38826</v>
      </c>
      <c r="BM134" s="121">
        <v>0</v>
      </c>
      <c r="BN134" s="121">
        <v>13160.22</v>
      </c>
      <c r="BO134" s="121">
        <v>20030.32</v>
      </c>
      <c r="BP134" s="121">
        <v>1135</v>
      </c>
      <c r="BQ134" s="121">
        <v>0</v>
      </c>
      <c r="BR134" s="121">
        <v>100716.13</v>
      </c>
      <c r="BS134" s="121">
        <v>9020</v>
      </c>
      <c r="BT134" s="121">
        <v>6097.7</v>
      </c>
      <c r="BU134" s="121">
        <v>172646.25</v>
      </c>
      <c r="BV134" s="121">
        <v>85133.64</v>
      </c>
      <c r="BW134" s="121">
        <v>0</v>
      </c>
      <c r="BX134" s="121">
        <v>100070.09</v>
      </c>
      <c r="BY134" s="121">
        <v>0</v>
      </c>
      <c r="BZ134" s="121">
        <v>0</v>
      </c>
      <c r="CA134" s="121">
        <v>4965.05</v>
      </c>
      <c r="CB134" s="121">
        <v>0</v>
      </c>
      <c r="CC134" s="121">
        <v>0</v>
      </c>
      <c r="CD134" s="121">
        <v>7841.88</v>
      </c>
      <c r="CE134" s="121">
        <v>0</v>
      </c>
      <c r="CF134" s="121">
        <v>4965.05</v>
      </c>
      <c r="CG134" s="121">
        <v>0</v>
      </c>
      <c r="CH134" s="121">
        <v>0</v>
      </c>
      <c r="CI134" s="121">
        <v>7841.88</v>
      </c>
      <c r="CJ134" s="121">
        <v>0</v>
      </c>
      <c r="CK134" s="121">
        <v>0</v>
      </c>
      <c r="CL134" s="121">
        <v>253666.92000000022</v>
      </c>
      <c r="CM134" s="121"/>
      <c r="CN134" s="121">
        <v>0</v>
      </c>
      <c r="CO134" s="121">
        <v>0</v>
      </c>
      <c r="CP134" s="121">
        <v>0</v>
      </c>
      <c r="CQ134" s="121">
        <v>0</v>
      </c>
      <c r="CR134" s="118"/>
      <c r="CS134" s="33">
        <v>253666.92000000022</v>
      </c>
      <c r="CT134" s="33">
        <v>0</v>
      </c>
      <c r="CU134" s="65">
        <v>258631.97</v>
      </c>
      <c r="CV134" s="65">
        <v>-4965.05</v>
      </c>
      <c r="CW134" s="65">
        <v>-4965.0499999997846</v>
      </c>
      <c r="CX134" s="33">
        <v>-4965.05</v>
      </c>
      <c r="CY134" s="33">
        <v>253666.92</v>
      </c>
      <c r="CZ134" s="66">
        <v>0</v>
      </c>
      <c r="DA134" s="33">
        <v>0</v>
      </c>
      <c r="DB134" s="33">
        <v>9.9999998055864125E-3</v>
      </c>
      <c r="DC134" s="33">
        <v>0</v>
      </c>
      <c r="DD134" s="65">
        <v>-4965.05</v>
      </c>
      <c r="DF134" s="33">
        <v>2.1555024432018399E-10</v>
      </c>
      <c r="DI134" s="33">
        <v>253666.92000000022</v>
      </c>
      <c r="DJ134" s="33">
        <v>0</v>
      </c>
      <c r="DK134" s="65">
        <v>258631.97</v>
      </c>
      <c r="DL134" s="65">
        <v>-4965.05</v>
      </c>
      <c r="DQ134" s="115">
        <v>3302087</v>
      </c>
      <c r="DS134" s="33">
        <v>0</v>
      </c>
      <c r="DT134" s="33">
        <v>2589732.4400000004</v>
      </c>
      <c r="DU134" s="33">
        <v>2505469.2200000002</v>
      </c>
      <c r="DV134" s="33">
        <v>84263.220000000205</v>
      </c>
      <c r="DW134" s="33">
        <v>12806.93</v>
      </c>
      <c r="DX134" s="33">
        <v>7841.88</v>
      </c>
      <c r="DY134" s="33">
        <v>4965.05</v>
      </c>
    </row>
    <row r="135" spans="2:129" x14ac:dyDescent="0.35">
      <c r="B135" s="87">
        <v>2092</v>
      </c>
      <c r="C135" s="115">
        <v>3302092</v>
      </c>
      <c r="D135" s="116" t="s">
        <v>387</v>
      </c>
      <c r="E135" s="116" t="s">
        <v>388</v>
      </c>
      <c r="F135" s="117"/>
      <c r="G135" s="118"/>
      <c r="H135" s="115"/>
      <c r="I135" s="115"/>
      <c r="J135" s="115"/>
      <c r="K135" s="115"/>
      <c r="L135" s="115"/>
      <c r="M135" s="115"/>
      <c r="N135" s="115"/>
      <c r="O135" s="115"/>
      <c r="P135" s="115"/>
      <c r="Q135" s="115"/>
      <c r="R135" s="115"/>
      <c r="S135" s="119"/>
      <c r="T135" s="119"/>
      <c r="U135" s="119"/>
      <c r="V135" s="119"/>
      <c r="W135" s="119"/>
      <c r="X135" s="119"/>
      <c r="Y135" s="120">
        <v>939919.38</v>
      </c>
      <c r="Z135" s="120"/>
      <c r="AA135" s="120">
        <v>37589.550000000003</v>
      </c>
      <c r="AB135" s="121">
        <v>2248626.52</v>
      </c>
      <c r="AC135" s="121">
        <v>0</v>
      </c>
      <c r="AD135" s="121">
        <v>114147.33</v>
      </c>
      <c r="AE135" s="121">
        <v>0</v>
      </c>
      <c r="AF135" s="121">
        <v>214536.5</v>
      </c>
      <c r="AG135" s="121">
        <v>8056.93</v>
      </c>
      <c r="AH135" s="121">
        <v>0</v>
      </c>
      <c r="AI135" s="121">
        <v>0</v>
      </c>
      <c r="AJ135" s="121">
        <v>278546.73</v>
      </c>
      <c r="AK135" s="121">
        <v>74366.100000000006</v>
      </c>
      <c r="AL135" s="121">
        <v>0</v>
      </c>
      <c r="AM135" s="121">
        <v>0</v>
      </c>
      <c r="AN135" s="121">
        <v>27398.25</v>
      </c>
      <c r="AO135" s="121">
        <v>0</v>
      </c>
      <c r="AP135" s="121">
        <v>0</v>
      </c>
      <c r="AQ135" s="121">
        <v>0</v>
      </c>
      <c r="AR135" s="121">
        <v>0</v>
      </c>
      <c r="AS135" s="121">
        <v>0</v>
      </c>
      <c r="AT135" s="121">
        <v>0</v>
      </c>
      <c r="AU135" s="121">
        <v>36977.5</v>
      </c>
      <c r="AV135" s="121">
        <v>20803</v>
      </c>
      <c r="AW135" s="121">
        <v>1434975.46</v>
      </c>
      <c r="AX135" s="121">
        <v>0</v>
      </c>
      <c r="AY135" s="121">
        <v>137955.04999999999</v>
      </c>
      <c r="AZ135" s="121">
        <v>71764.98</v>
      </c>
      <c r="BA135" s="121">
        <v>171171.93</v>
      </c>
      <c r="BB135" s="121">
        <v>0</v>
      </c>
      <c r="BC135" s="121">
        <v>102816.1</v>
      </c>
      <c r="BD135" s="121">
        <v>2411.75</v>
      </c>
      <c r="BE135" s="121">
        <v>4672.82</v>
      </c>
      <c r="BF135" s="121">
        <v>0</v>
      </c>
      <c r="BG135" s="121">
        <v>0</v>
      </c>
      <c r="BH135" s="121">
        <v>156485.29999999999</v>
      </c>
      <c r="BI135" s="121">
        <v>5322.35</v>
      </c>
      <c r="BJ135" s="121">
        <v>2029.84</v>
      </c>
      <c r="BK135" s="121">
        <v>6023.08</v>
      </c>
      <c r="BL135" s="121">
        <v>161214.23000000001</v>
      </c>
      <c r="BM135" s="121">
        <v>26946.240000000002</v>
      </c>
      <c r="BN135" s="121">
        <v>6019.65</v>
      </c>
      <c r="BO135" s="121">
        <v>72475.749999999753</v>
      </c>
      <c r="BP135" s="121">
        <v>32456.880000000001</v>
      </c>
      <c r="BQ135" s="121">
        <v>0</v>
      </c>
      <c r="BR135" s="121">
        <v>61306.76</v>
      </c>
      <c r="BS135" s="121">
        <v>4895</v>
      </c>
      <c r="BT135" s="121">
        <v>5410</v>
      </c>
      <c r="BU135" s="121">
        <v>135126.91</v>
      </c>
      <c r="BV135" s="121">
        <v>98725.25</v>
      </c>
      <c r="BW135" s="121">
        <v>0</v>
      </c>
      <c r="BX135" s="121">
        <v>334635.81</v>
      </c>
      <c r="BY135" s="121">
        <v>0</v>
      </c>
      <c r="BZ135" s="121">
        <v>0</v>
      </c>
      <c r="CA135" s="121">
        <v>0</v>
      </c>
      <c r="CB135" s="121">
        <v>0</v>
      </c>
      <c r="CC135" s="121">
        <v>0</v>
      </c>
      <c r="CD135" s="121">
        <v>9422.5</v>
      </c>
      <c r="CE135" s="121">
        <v>19648.86</v>
      </c>
      <c r="CF135" s="121">
        <v>0</v>
      </c>
      <c r="CG135" s="121">
        <v>0</v>
      </c>
      <c r="CH135" s="121">
        <v>0</v>
      </c>
      <c r="CI135" s="121">
        <v>0</v>
      </c>
      <c r="CJ135" s="121">
        <v>0</v>
      </c>
      <c r="CK135" s="121"/>
      <c r="CL135" s="121">
        <v>928537.10000000021</v>
      </c>
      <c r="CM135" s="121"/>
      <c r="CN135" s="121">
        <v>66660.91</v>
      </c>
      <c r="CO135" s="121">
        <v>0</v>
      </c>
      <c r="CP135" s="121">
        <v>0</v>
      </c>
      <c r="CQ135" s="121">
        <v>0</v>
      </c>
      <c r="CR135" s="118"/>
      <c r="CS135" s="33">
        <v>928537.10000000021</v>
      </c>
      <c r="CT135" s="33">
        <v>66660.91</v>
      </c>
      <c r="CU135" s="65">
        <v>928537.1</v>
      </c>
      <c r="CV135" s="65">
        <v>66660.91</v>
      </c>
      <c r="CW135" s="65">
        <v>0</v>
      </c>
      <c r="CX135" s="33">
        <v>0</v>
      </c>
      <c r="CY135" s="33">
        <v>995198.01</v>
      </c>
      <c r="CZ135" s="66">
        <v>19648.86</v>
      </c>
      <c r="DA135" s="33">
        <v>19648.86</v>
      </c>
      <c r="DB135" s="33">
        <v>0</v>
      </c>
      <c r="DC135" s="33">
        <v>-2.0000000251457095E-2</v>
      </c>
      <c r="DF135" s="33">
        <v>2.6193447411060333E-10</v>
      </c>
      <c r="DI135" s="33">
        <v>928537.10000000021</v>
      </c>
      <c r="DJ135" s="33">
        <v>66660.91</v>
      </c>
      <c r="DK135" s="65">
        <v>928537.1</v>
      </c>
      <c r="DL135" s="65">
        <v>66660.91</v>
      </c>
      <c r="DQ135" s="115">
        <v>3302092</v>
      </c>
      <c r="DS135" s="33">
        <v>0</v>
      </c>
      <c r="DT135" s="33">
        <v>3023458.8600000003</v>
      </c>
      <c r="DU135" s="33">
        <v>3034841.14</v>
      </c>
      <c r="DV135" s="33">
        <v>-11382.279999999795</v>
      </c>
      <c r="DW135" s="33">
        <v>29071.360000000001</v>
      </c>
      <c r="DX135" s="33">
        <v>0</v>
      </c>
      <c r="DY135" s="33">
        <v>29071.360000000001</v>
      </c>
    </row>
    <row r="136" spans="2:129" x14ac:dyDescent="0.35">
      <c r="B136" s="87">
        <v>2099</v>
      </c>
      <c r="C136" s="115">
        <v>3302099</v>
      </c>
      <c r="D136" s="116" t="s">
        <v>389</v>
      </c>
      <c r="E136" s="116" t="s">
        <v>390</v>
      </c>
      <c r="F136" s="117"/>
      <c r="G136" s="118"/>
      <c r="H136" s="115"/>
      <c r="I136" s="115"/>
      <c r="J136" s="115"/>
      <c r="K136" s="115"/>
      <c r="L136" s="115"/>
      <c r="M136" s="115"/>
      <c r="N136" s="115"/>
      <c r="O136" s="115"/>
      <c r="P136" s="115"/>
      <c r="Q136" s="115"/>
      <c r="R136" s="115"/>
      <c r="S136" s="119"/>
      <c r="T136" s="119"/>
      <c r="U136" s="119"/>
      <c r="V136" s="119"/>
      <c r="W136" s="119"/>
      <c r="X136" s="119"/>
      <c r="Y136" s="120">
        <v>239167.86</v>
      </c>
      <c r="Z136" s="120"/>
      <c r="AA136" s="120">
        <v>-4423.13</v>
      </c>
      <c r="AB136" s="121">
        <v>1379874.71</v>
      </c>
      <c r="AC136" s="121">
        <v>0</v>
      </c>
      <c r="AD136" s="121">
        <v>248857.41</v>
      </c>
      <c r="AE136" s="121">
        <v>0</v>
      </c>
      <c r="AF136" s="121">
        <v>184025.5</v>
      </c>
      <c r="AG136" s="121">
        <v>4113.82</v>
      </c>
      <c r="AH136" s="121">
        <v>0</v>
      </c>
      <c r="AI136" s="121">
        <v>0</v>
      </c>
      <c r="AJ136" s="121">
        <v>0</v>
      </c>
      <c r="AK136" s="121">
        <v>0</v>
      </c>
      <c r="AL136" s="121">
        <v>0</v>
      </c>
      <c r="AM136" s="121">
        <v>0</v>
      </c>
      <c r="AN136" s="121">
        <v>0</v>
      </c>
      <c r="AO136" s="121">
        <v>0</v>
      </c>
      <c r="AP136" s="121">
        <v>0</v>
      </c>
      <c r="AQ136" s="121">
        <v>0</v>
      </c>
      <c r="AR136" s="121">
        <v>0</v>
      </c>
      <c r="AS136" s="121">
        <v>0</v>
      </c>
      <c r="AT136" s="121">
        <v>0</v>
      </c>
      <c r="AU136" s="121">
        <v>12613.62</v>
      </c>
      <c r="AV136" s="121">
        <v>36325</v>
      </c>
      <c r="AW136" s="121">
        <v>945110.81</v>
      </c>
      <c r="AX136" s="121">
        <v>0</v>
      </c>
      <c r="AY136" s="121">
        <v>279182.42</v>
      </c>
      <c r="AZ136" s="121">
        <v>46864.43</v>
      </c>
      <c r="BA136" s="121">
        <v>92354.68</v>
      </c>
      <c r="BB136" s="121">
        <v>0</v>
      </c>
      <c r="BC136" s="121">
        <v>65764.850000000006</v>
      </c>
      <c r="BD136" s="121">
        <v>1002.04</v>
      </c>
      <c r="BE136" s="121">
        <v>17173</v>
      </c>
      <c r="BF136" s="121">
        <v>0</v>
      </c>
      <c r="BG136" s="121">
        <v>0</v>
      </c>
      <c r="BH136" s="121">
        <v>33977.730000000003</v>
      </c>
      <c r="BI136" s="121">
        <v>770</v>
      </c>
      <c r="BJ136" s="121">
        <v>3625.3</v>
      </c>
      <c r="BK136" s="121">
        <v>4526.05</v>
      </c>
      <c r="BL136" s="121">
        <v>46415.87</v>
      </c>
      <c r="BM136" s="121">
        <v>0</v>
      </c>
      <c r="BN136" s="121">
        <v>12640.5</v>
      </c>
      <c r="BO136" s="121">
        <v>49018.319999999905</v>
      </c>
      <c r="BP136" s="121">
        <v>15081.91</v>
      </c>
      <c r="BQ136" s="121">
        <v>2107.14</v>
      </c>
      <c r="BR136" s="121">
        <v>35479.82</v>
      </c>
      <c r="BS136" s="121">
        <v>6385.4</v>
      </c>
      <c r="BT136" s="121">
        <v>0</v>
      </c>
      <c r="BU136" s="121">
        <v>43976.959999999999</v>
      </c>
      <c r="BV136" s="121">
        <v>26595.06</v>
      </c>
      <c r="BW136" s="121">
        <v>120</v>
      </c>
      <c r="BX136" s="121">
        <v>104748.34</v>
      </c>
      <c r="BY136" s="121">
        <v>0</v>
      </c>
      <c r="BZ136" s="121">
        <v>0</v>
      </c>
      <c r="CA136" s="121">
        <v>8857.23</v>
      </c>
      <c r="CB136" s="121">
        <v>0</v>
      </c>
      <c r="CC136" s="121">
        <v>0</v>
      </c>
      <c r="CD136" s="121">
        <v>6486.25</v>
      </c>
      <c r="CE136" s="121">
        <v>14501.460000000003</v>
      </c>
      <c r="CF136" s="121">
        <v>8857.23</v>
      </c>
      <c r="CG136" s="121">
        <v>0</v>
      </c>
      <c r="CH136" s="121">
        <v>0</v>
      </c>
      <c r="CI136" s="121">
        <v>0</v>
      </c>
      <c r="CJ136" s="121">
        <v>25421.81</v>
      </c>
      <c r="CK136" s="121"/>
      <c r="CL136" s="121">
        <v>263200.06000000017</v>
      </c>
      <c r="CM136" s="121"/>
      <c r="CN136" s="121">
        <v>0</v>
      </c>
      <c r="CO136" s="121">
        <v>0</v>
      </c>
      <c r="CP136" s="121">
        <v>0</v>
      </c>
      <c r="CQ136" s="121">
        <v>0</v>
      </c>
      <c r="CR136" s="118"/>
      <c r="CS136" s="33">
        <v>263200.06000000017</v>
      </c>
      <c r="CT136" s="33">
        <v>0</v>
      </c>
      <c r="CU136" s="65">
        <v>272057.28999999998</v>
      </c>
      <c r="CV136" s="65">
        <v>-8857.23</v>
      </c>
      <c r="CW136" s="65">
        <v>-8857.2299999998068</v>
      </c>
      <c r="CX136" s="33">
        <v>-8857.23</v>
      </c>
      <c r="CY136" s="33">
        <v>263200.06</v>
      </c>
      <c r="CZ136" s="66">
        <v>14501.460000000003</v>
      </c>
      <c r="DA136" s="33">
        <v>14501.460000000003</v>
      </c>
      <c r="DB136" s="33">
        <v>0</v>
      </c>
      <c r="DC136" s="33">
        <v>-4.0000000095460564E-2</v>
      </c>
      <c r="DD136" s="65">
        <v>-8857.23</v>
      </c>
      <c r="DF136" s="33">
        <v>1.9281287677586079E-10</v>
      </c>
      <c r="DI136" s="33">
        <v>263200.06000000017</v>
      </c>
      <c r="DJ136" s="33">
        <v>0</v>
      </c>
      <c r="DK136" s="65">
        <v>272057.28999999998</v>
      </c>
      <c r="DL136" s="65">
        <v>-8857.23</v>
      </c>
      <c r="DQ136" s="115">
        <v>3302099</v>
      </c>
      <c r="DS136" s="33">
        <v>0</v>
      </c>
      <c r="DT136" s="33">
        <v>1865810.06</v>
      </c>
      <c r="DU136" s="33">
        <v>1841777.8599999999</v>
      </c>
      <c r="DV136" s="33">
        <v>24032.200000000186</v>
      </c>
      <c r="DW136" s="33">
        <v>29844.940000000002</v>
      </c>
      <c r="DX136" s="33">
        <v>25421.81</v>
      </c>
      <c r="DY136" s="33">
        <v>4423.130000000001</v>
      </c>
    </row>
    <row r="137" spans="2:129" x14ac:dyDescent="0.35">
      <c r="B137" s="87">
        <v>2108</v>
      </c>
      <c r="C137" s="115">
        <v>3302108</v>
      </c>
      <c r="D137" s="116" t="s">
        <v>391</v>
      </c>
      <c r="E137" s="116" t="s">
        <v>392</v>
      </c>
      <c r="F137" s="117"/>
      <c r="G137" s="118"/>
      <c r="H137" s="115"/>
      <c r="I137" s="115"/>
      <c r="J137" s="115"/>
      <c r="K137" s="115"/>
      <c r="L137" s="115"/>
      <c r="M137" s="115"/>
      <c r="N137" s="115"/>
      <c r="O137" s="115"/>
      <c r="P137" s="115"/>
      <c r="Q137" s="115"/>
      <c r="R137" s="115"/>
      <c r="S137" s="119"/>
      <c r="T137" s="119"/>
      <c r="U137" s="119"/>
      <c r="V137" s="119"/>
      <c r="W137" s="119"/>
      <c r="X137" s="119"/>
      <c r="Y137" s="120">
        <v>977587.16</v>
      </c>
      <c r="Z137" s="120"/>
      <c r="AA137" s="120">
        <v>-117698.43</v>
      </c>
      <c r="AB137" s="121">
        <v>4626573.9400000004</v>
      </c>
      <c r="AC137" s="121">
        <v>0</v>
      </c>
      <c r="AD137" s="121">
        <v>440610.21</v>
      </c>
      <c r="AE137" s="121">
        <v>0</v>
      </c>
      <c r="AF137" s="121">
        <v>480150.5</v>
      </c>
      <c r="AG137" s="121">
        <v>3770.79</v>
      </c>
      <c r="AH137" s="121">
        <v>0</v>
      </c>
      <c r="AI137" s="121">
        <v>0</v>
      </c>
      <c r="AJ137" s="121">
        <v>70581.73</v>
      </c>
      <c r="AK137" s="121">
        <v>0</v>
      </c>
      <c r="AL137" s="121">
        <v>0</v>
      </c>
      <c r="AM137" s="121">
        <v>0</v>
      </c>
      <c r="AN137" s="121">
        <v>8989.17</v>
      </c>
      <c r="AO137" s="121">
        <v>0</v>
      </c>
      <c r="AP137" s="121">
        <v>0</v>
      </c>
      <c r="AQ137" s="121">
        <v>0</v>
      </c>
      <c r="AR137" s="121">
        <v>0</v>
      </c>
      <c r="AS137" s="121">
        <v>0</v>
      </c>
      <c r="AT137" s="121">
        <v>0</v>
      </c>
      <c r="AU137" s="121">
        <v>85202.32</v>
      </c>
      <c r="AV137" s="121">
        <v>141058</v>
      </c>
      <c r="AW137" s="121">
        <v>2398888.9900000002</v>
      </c>
      <c r="AX137" s="121">
        <v>0</v>
      </c>
      <c r="AY137" s="121">
        <v>707461.91</v>
      </c>
      <c r="AZ137" s="121">
        <v>130226.29</v>
      </c>
      <c r="BA137" s="121">
        <v>418662.40000000002</v>
      </c>
      <c r="BB137" s="121">
        <v>0</v>
      </c>
      <c r="BC137" s="121">
        <v>222565.21</v>
      </c>
      <c r="BD137" s="121">
        <v>0</v>
      </c>
      <c r="BE137" s="121">
        <v>10336.1</v>
      </c>
      <c r="BF137" s="121">
        <v>0</v>
      </c>
      <c r="BG137" s="121">
        <v>0</v>
      </c>
      <c r="BH137" s="121">
        <v>30815.25</v>
      </c>
      <c r="BI137" s="121">
        <v>18399.419999999998</v>
      </c>
      <c r="BJ137" s="121">
        <v>11028.64</v>
      </c>
      <c r="BK137" s="121">
        <v>5387.07</v>
      </c>
      <c r="BL137" s="121">
        <v>113023.37</v>
      </c>
      <c r="BM137" s="121">
        <v>0</v>
      </c>
      <c r="BN137" s="121">
        <v>31346.720000000001</v>
      </c>
      <c r="BO137" s="121">
        <v>156651.03000000044</v>
      </c>
      <c r="BP137" s="121">
        <v>18479.310000000001</v>
      </c>
      <c r="BQ137" s="121">
        <v>564.94000000000005</v>
      </c>
      <c r="BR137" s="121">
        <v>158752.04999999999</v>
      </c>
      <c r="BS137" s="121">
        <v>4895</v>
      </c>
      <c r="BT137" s="121">
        <v>10770</v>
      </c>
      <c r="BU137" s="121">
        <v>334196.42</v>
      </c>
      <c r="BV137" s="121">
        <v>364957.41</v>
      </c>
      <c r="BW137" s="121">
        <v>2705</v>
      </c>
      <c r="BX137" s="121">
        <v>584465.56000000006</v>
      </c>
      <c r="BY137" s="121">
        <v>0</v>
      </c>
      <c r="BZ137" s="121">
        <v>0</v>
      </c>
      <c r="CA137" s="121">
        <v>144574.43</v>
      </c>
      <c r="CB137" s="121">
        <v>0</v>
      </c>
      <c r="CC137" s="121">
        <v>0</v>
      </c>
      <c r="CD137" s="121">
        <v>13861.75</v>
      </c>
      <c r="CE137" s="121">
        <v>0</v>
      </c>
      <c r="CF137" s="121">
        <v>144574.43</v>
      </c>
      <c r="CG137" s="121">
        <v>0</v>
      </c>
      <c r="CH137" s="121">
        <v>0</v>
      </c>
      <c r="CI137" s="121">
        <v>13861.75</v>
      </c>
      <c r="CJ137" s="121">
        <v>26876</v>
      </c>
      <c r="CK137" s="121">
        <v>0</v>
      </c>
      <c r="CL137" s="121">
        <v>955371.2999999997</v>
      </c>
      <c r="CM137" s="121"/>
      <c r="CN137" s="121">
        <v>0</v>
      </c>
      <c r="CO137" s="121">
        <v>0</v>
      </c>
      <c r="CP137" s="121">
        <v>0</v>
      </c>
      <c r="CQ137" s="121">
        <v>0</v>
      </c>
      <c r="CR137" s="118"/>
      <c r="CS137" s="33">
        <v>955371.2999999997</v>
      </c>
      <c r="CT137" s="33">
        <v>0</v>
      </c>
      <c r="CU137" s="65">
        <v>1099945.73</v>
      </c>
      <c r="CV137" s="65">
        <v>-144574.43</v>
      </c>
      <c r="CW137" s="65">
        <v>-144574.43000000028</v>
      </c>
      <c r="CX137" s="33">
        <v>-144574.43</v>
      </c>
      <c r="CY137" s="33">
        <v>955371.3</v>
      </c>
      <c r="CZ137" s="66">
        <v>0</v>
      </c>
      <c r="DA137" s="33">
        <v>0</v>
      </c>
      <c r="DB137" s="33">
        <v>0</v>
      </c>
      <c r="DC137" s="33">
        <v>-3.9999999571591616E-2</v>
      </c>
      <c r="DD137" s="65">
        <v>-144574.43</v>
      </c>
      <c r="DF137" s="33">
        <v>-2.9103830456733704E-10</v>
      </c>
      <c r="DI137" s="33">
        <v>955371.2999999997</v>
      </c>
      <c r="DJ137" s="33">
        <v>0</v>
      </c>
      <c r="DK137" s="65">
        <v>1099945.73</v>
      </c>
      <c r="DL137" s="65">
        <v>-144574.43</v>
      </c>
      <c r="DQ137" s="115">
        <v>3302108</v>
      </c>
      <c r="DS137" s="33">
        <v>0</v>
      </c>
      <c r="DT137" s="33">
        <v>5856936.6600000011</v>
      </c>
      <c r="DU137" s="33">
        <v>5879152.5200000014</v>
      </c>
      <c r="DV137" s="33">
        <v>-22215.860000000335</v>
      </c>
      <c r="DW137" s="33">
        <v>158436.18</v>
      </c>
      <c r="DX137" s="33">
        <v>40737.75</v>
      </c>
      <c r="DY137" s="33">
        <v>117698.43</v>
      </c>
    </row>
    <row r="138" spans="2:129" x14ac:dyDescent="0.35">
      <c r="B138" s="87">
        <v>2115</v>
      </c>
      <c r="C138" s="115">
        <v>3302115</v>
      </c>
      <c r="D138" s="116" t="s">
        <v>393</v>
      </c>
      <c r="E138" s="116" t="s">
        <v>394</v>
      </c>
      <c r="F138" s="117"/>
      <c r="G138" s="118"/>
      <c r="H138" s="115"/>
      <c r="I138" s="115"/>
      <c r="J138" s="115"/>
      <c r="K138" s="115"/>
      <c r="L138" s="115"/>
      <c r="M138" s="115"/>
      <c r="N138" s="115"/>
      <c r="O138" s="115"/>
      <c r="P138" s="115"/>
      <c r="Q138" s="115"/>
      <c r="R138" s="115"/>
      <c r="S138" s="119"/>
      <c r="T138" s="119"/>
      <c r="U138" s="119"/>
      <c r="V138" s="119"/>
      <c r="W138" s="119"/>
      <c r="X138" s="119"/>
      <c r="Y138" s="120">
        <v>413435.61</v>
      </c>
      <c r="Z138" s="120"/>
      <c r="AA138" s="120">
        <v>-23308.53</v>
      </c>
      <c r="AB138" s="121">
        <v>1731204.07</v>
      </c>
      <c r="AC138" s="121">
        <v>0</v>
      </c>
      <c r="AD138" s="121">
        <v>62559.5</v>
      </c>
      <c r="AE138" s="121">
        <v>0</v>
      </c>
      <c r="AF138" s="121">
        <v>235600</v>
      </c>
      <c r="AG138" s="121">
        <v>2256.9299999999998</v>
      </c>
      <c r="AH138" s="121">
        <v>0</v>
      </c>
      <c r="AI138" s="121">
        <v>0</v>
      </c>
      <c r="AJ138" s="121">
        <v>31938.639999999999</v>
      </c>
      <c r="AK138" s="121">
        <v>0</v>
      </c>
      <c r="AL138" s="121">
        <v>0</v>
      </c>
      <c r="AM138" s="121">
        <v>0</v>
      </c>
      <c r="AN138" s="121">
        <v>1661.25</v>
      </c>
      <c r="AO138" s="121">
        <v>0</v>
      </c>
      <c r="AP138" s="121">
        <v>0</v>
      </c>
      <c r="AQ138" s="121">
        <v>0</v>
      </c>
      <c r="AR138" s="121">
        <v>0</v>
      </c>
      <c r="AS138" s="121">
        <v>0</v>
      </c>
      <c r="AT138" s="121">
        <v>0</v>
      </c>
      <c r="AU138" s="121">
        <v>39430.620000000003</v>
      </c>
      <c r="AV138" s="121">
        <v>46682</v>
      </c>
      <c r="AW138" s="121">
        <v>1177340.21</v>
      </c>
      <c r="AX138" s="121">
        <v>0</v>
      </c>
      <c r="AY138" s="121">
        <v>237848.11</v>
      </c>
      <c r="AZ138" s="121">
        <v>0</v>
      </c>
      <c r="BA138" s="121">
        <v>177472.63</v>
      </c>
      <c r="BB138" s="121">
        <v>62846.25</v>
      </c>
      <c r="BC138" s="121">
        <v>100326.92</v>
      </c>
      <c r="BD138" s="121">
        <v>0</v>
      </c>
      <c r="BE138" s="121">
        <v>2885.3</v>
      </c>
      <c r="BF138" s="121">
        <v>0</v>
      </c>
      <c r="BG138" s="121">
        <v>0</v>
      </c>
      <c r="BH138" s="121">
        <v>144439.9</v>
      </c>
      <c r="BI138" s="121">
        <v>0</v>
      </c>
      <c r="BJ138" s="121">
        <v>0</v>
      </c>
      <c r="BK138" s="121">
        <v>2297.4299999999998</v>
      </c>
      <c r="BL138" s="121">
        <v>69841.649999999994</v>
      </c>
      <c r="BM138" s="121">
        <v>0</v>
      </c>
      <c r="BN138" s="121">
        <v>9728.49</v>
      </c>
      <c r="BO138" s="121">
        <v>55744.07</v>
      </c>
      <c r="BP138" s="121">
        <v>47804.9</v>
      </c>
      <c r="BQ138" s="121">
        <v>24.04</v>
      </c>
      <c r="BR138" s="121">
        <v>41183.47</v>
      </c>
      <c r="BS138" s="121">
        <v>4895</v>
      </c>
      <c r="BT138" s="121">
        <v>0</v>
      </c>
      <c r="BU138" s="121">
        <v>79927.960000000006</v>
      </c>
      <c r="BV138" s="121">
        <v>1208.48</v>
      </c>
      <c r="BW138" s="121">
        <v>1500</v>
      </c>
      <c r="BX138" s="121">
        <v>26872.16</v>
      </c>
      <c r="BY138" s="121">
        <v>0</v>
      </c>
      <c r="BZ138" s="121">
        <v>0</v>
      </c>
      <c r="CA138" s="121">
        <v>23308.53</v>
      </c>
      <c r="CB138" s="121">
        <v>0</v>
      </c>
      <c r="CC138" s="121">
        <v>0</v>
      </c>
      <c r="CD138" s="121">
        <v>7691.13</v>
      </c>
      <c r="CE138" s="121">
        <v>0</v>
      </c>
      <c r="CF138" s="121">
        <v>23308.53</v>
      </c>
      <c r="CG138" s="121">
        <v>0</v>
      </c>
      <c r="CH138" s="121">
        <v>0</v>
      </c>
      <c r="CI138" s="121">
        <v>7691.13</v>
      </c>
      <c r="CJ138" s="121">
        <v>0</v>
      </c>
      <c r="CK138" s="121">
        <v>0</v>
      </c>
      <c r="CL138" s="121">
        <v>297273.12000000023</v>
      </c>
      <c r="CM138" s="121"/>
      <c r="CN138" s="121">
        <v>0</v>
      </c>
      <c r="CO138" s="121">
        <v>0</v>
      </c>
      <c r="CP138" s="121">
        <v>0</v>
      </c>
      <c r="CQ138" s="121">
        <v>0</v>
      </c>
      <c r="CR138" s="118"/>
      <c r="CS138" s="33">
        <v>297273.12000000023</v>
      </c>
      <c r="CT138" s="33">
        <v>0</v>
      </c>
      <c r="CU138" s="65">
        <v>320581.65000000002</v>
      </c>
      <c r="CV138" s="65">
        <v>-23308.53</v>
      </c>
      <c r="CW138" s="65">
        <v>-23308.529999999795</v>
      </c>
      <c r="CX138" s="33">
        <v>-23308.53</v>
      </c>
      <c r="CY138" s="33">
        <v>297273.12</v>
      </c>
      <c r="CZ138" s="66">
        <v>0</v>
      </c>
      <c r="DA138" s="33">
        <v>0</v>
      </c>
      <c r="DB138" s="33">
        <v>0</v>
      </c>
      <c r="DC138" s="33">
        <v>0</v>
      </c>
      <c r="DD138" s="65">
        <v>-23308.53</v>
      </c>
      <c r="DF138" s="33">
        <v>2.0372681319713593E-10</v>
      </c>
      <c r="DI138" s="33">
        <v>297273.12000000023</v>
      </c>
      <c r="DJ138" s="33">
        <v>0</v>
      </c>
      <c r="DK138" s="65">
        <v>320581.65000000002</v>
      </c>
      <c r="DL138" s="65">
        <v>-23308.53</v>
      </c>
      <c r="DQ138" s="115">
        <v>3302115</v>
      </c>
      <c r="DS138" s="33">
        <v>0</v>
      </c>
      <c r="DT138" s="33">
        <v>2151333.0099999998</v>
      </c>
      <c r="DU138" s="33">
        <v>2267495.4999999995</v>
      </c>
      <c r="DV138" s="33">
        <v>-116162.48999999976</v>
      </c>
      <c r="DW138" s="33">
        <v>30999.66</v>
      </c>
      <c r="DX138" s="33">
        <v>7691.13</v>
      </c>
      <c r="DY138" s="33">
        <v>23308.53</v>
      </c>
    </row>
    <row r="139" spans="2:129" x14ac:dyDescent="0.35">
      <c r="B139" s="87">
        <v>2133</v>
      </c>
      <c r="C139" s="115">
        <v>3302133</v>
      </c>
      <c r="D139" s="116" t="s">
        <v>395</v>
      </c>
      <c r="E139" s="116" t="s">
        <v>396</v>
      </c>
      <c r="F139" s="117"/>
      <c r="G139" s="118"/>
      <c r="H139" s="115"/>
      <c r="I139" s="115"/>
      <c r="J139" s="115"/>
      <c r="K139" s="115"/>
      <c r="L139" s="115"/>
      <c r="M139" s="115"/>
      <c r="N139" s="115"/>
      <c r="O139" s="115"/>
      <c r="P139" s="115"/>
      <c r="Q139" s="115"/>
      <c r="R139" s="115"/>
      <c r="S139" s="119"/>
      <c r="T139" s="119"/>
      <c r="U139" s="119"/>
      <c r="V139" s="119"/>
      <c r="W139" s="119"/>
      <c r="X139" s="119"/>
      <c r="Y139" s="120">
        <v>452503.45</v>
      </c>
      <c r="Z139" s="120"/>
      <c r="AA139" s="120">
        <v>63575.63</v>
      </c>
      <c r="AB139" s="121">
        <v>2442386.25</v>
      </c>
      <c r="AC139" s="121">
        <v>0</v>
      </c>
      <c r="AD139" s="121">
        <v>38533.75</v>
      </c>
      <c r="AE139" s="121">
        <v>0</v>
      </c>
      <c r="AF139" s="121">
        <v>268416.5</v>
      </c>
      <c r="AG139" s="121">
        <v>3000</v>
      </c>
      <c r="AH139" s="121">
        <v>0</v>
      </c>
      <c r="AI139" s="121">
        <v>0</v>
      </c>
      <c r="AJ139" s="121">
        <v>111022.29</v>
      </c>
      <c r="AK139" s="121">
        <v>21348.51</v>
      </c>
      <c r="AL139" s="121">
        <v>0</v>
      </c>
      <c r="AM139" s="121">
        <v>0</v>
      </c>
      <c r="AN139" s="121">
        <v>13036</v>
      </c>
      <c r="AO139" s="121">
        <v>0</v>
      </c>
      <c r="AP139" s="121">
        <v>0</v>
      </c>
      <c r="AQ139" s="121">
        <v>0</v>
      </c>
      <c r="AR139" s="121">
        <v>0</v>
      </c>
      <c r="AS139" s="121">
        <v>0</v>
      </c>
      <c r="AT139" s="121">
        <v>0</v>
      </c>
      <c r="AU139" s="121">
        <v>17407.88</v>
      </c>
      <c r="AV139" s="121">
        <v>70238</v>
      </c>
      <c r="AW139" s="121">
        <v>1110788.57</v>
      </c>
      <c r="AX139" s="121">
        <v>0</v>
      </c>
      <c r="AY139" s="121">
        <v>512394.33</v>
      </c>
      <c r="AZ139" s="121">
        <v>0</v>
      </c>
      <c r="BA139" s="121">
        <v>78204.23</v>
      </c>
      <c r="BB139" s="121">
        <v>66171.289999999994</v>
      </c>
      <c r="BC139" s="121">
        <v>115150.99</v>
      </c>
      <c r="BD139" s="121">
        <v>7469.6</v>
      </c>
      <c r="BE139" s="121">
        <v>6012.7</v>
      </c>
      <c r="BF139" s="121">
        <v>0</v>
      </c>
      <c r="BG139" s="121">
        <v>0</v>
      </c>
      <c r="BH139" s="121">
        <v>23175.09</v>
      </c>
      <c r="BI139" s="121">
        <v>3950</v>
      </c>
      <c r="BJ139" s="121">
        <v>0</v>
      </c>
      <c r="BK139" s="121">
        <v>8177.47</v>
      </c>
      <c r="BL139" s="121">
        <v>91442.9</v>
      </c>
      <c r="BM139" s="121">
        <v>45024</v>
      </c>
      <c r="BN139" s="121">
        <v>29795.17</v>
      </c>
      <c r="BO139" s="121">
        <v>167561.00000000012</v>
      </c>
      <c r="BP139" s="121">
        <v>12087.19</v>
      </c>
      <c r="BQ139" s="121">
        <v>0</v>
      </c>
      <c r="BR139" s="121">
        <v>12873.13</v>
      </c>
      <c r="BS139" s="121">
        <v>4895</v>
      </c>
      <c r="BT139" s="121">
        <v>0</v>
      </c>
      <c r="BU139" s="121">
        <v>69633.600000000006</v>
      </c>
      <c r="BV139" s="121">
        <v>184639.61</v>
      </c>
      <c r="BW139" s="121">
        <v>24419.5</v>
      </c>
      <c r="BX139" s="121">
        <v>82048.649999999994</v>
      </c>
      <c r="BY139" s="121">
        <v>396258.74</v>
      </c>
      <c r="BZ139" s="121">
        <v>0</v>
      </c>
      <c r="CA139" s="121">
        <v>0</v>
      </c>
      <c r="CB139" s="121">
        <v>0</v>
      </c>
      <c r="CC139" s="121">
        <v>0</v>
      </c>
      <c r="CD139" s="121">
        <v>8635</v>
      </c>
      <c r="CE139" s="121">
        <v>18164.419999999998</v>
      </c>
      <c r="CF139" s="121">
        <v>0</v>
      </c>
      <c r="CG139" s="121">
        <v>0</v>
      </c>
      <c r="CH139" s="121">
        <v>0</v>
      </c>
      <c r="CI139" s="121">
        <v>0</v>
      </c>
      <c r="CJ139" s="121">
        <v>58213.75</v>
      </c>
      <c r="CK139" s="121"/>
      <c r="CL139" s="121">
        <v>385719.86999999994</v>
      </c>
      <c r="CM139" s="121"/>
      <c r="CN139" s="121">
        <v>32161.299999999996</v>
      </c>
      <c r="CO139" s="121">
        <v>0</v>
      </c>
      <c r="CP139" s="121">
        <v>0</v>
      </c>
      <c r="CQ139" s="121">
        <v>0</v>
      </c>
      <c r="CR139" s="118"/>
      <c r="CS139" s="33">
        <v>385719.86999999994</v>
      </c>
      <c r="CT139" s="33">
        <v>32161.299999999996</v>
      </c>
      <c r="CU139" s="65">
        <v>385719.87</v>
      </c>
      <c r="CV139" s="65">
        <v>32161.3</v>
      </c>
      <c r="CW139" s="65">
        <v>0</v>
      </c>
      <c r="CX139" s="33">
        <v>0</v>
      </c>
      <c r="CY139" s="33">
        <v>417881.17</v>
      </c>
      <c r="CZ139" s="66">
        <v>11215.869999999999</v>
      </c>
      <c r="DA139" s="33">
        <v>11215.869999999999</v>
      </c>
      <c r="DB139" s="33">
        <v>0</v>
      </c>
      <c r="DC139" s="33">
        <v>-4.9999999871943146E-2</v>
      </c>
      <c r="DF139" s="33">
        <v>-6.9121597334742546E-11</v>
      </c>
      <c r="DI139" s="33">
        <v>385719.86999999994</v>
      </c>
      <c r="DJ139" s="33">
        <v>32161.299999999996</v>
      </c>
      <c r="DK139" s="65">
        <v>385719.87</v>
      </c>
      <c r="DL139" s="65">
        <v>32161.3</v>
      </c>
      <c r="DQ139" s="115">
        <v>3302133</v>
      </c>
      <c r="DS139" s="33">
        <v>0</v>
      </c>
      <c r="DT139" s="33">
        <v>2985389.1799999997</v>
      </c>
      <c r="DU139" s="33">
        <v>3052172.76</v>
      </c>
      <c r="DV139" s="33">
        <v>-66783.580000000075</v>
      </c>
      <c r="DW139" s="33">
        <v>26799.42</v>
      </c>
      <c r="DX139" s="33">
        <v>58213.75</v>
      </c>
      <c r="DY139" s="33">
        <v>-31414.33</v>
      </c>
    </row>
    <row r="140" spans="2:129" x14ac:dyDescent="0.35">
      <c r="B140" s="87">
        <v>2142</v>
      </c>
      <c r="C140" s="115">
        <v>3302142</v>
      </c>
      <c r="D140" s="116" t="s">
        <v>397</v>
      </c>
      <c r="E140" s="116" t="s">
        <v>398</v>
      </c>
      <c r="F140" s="117"/>
      <c r="G140" s="118"/>
      <c r="H140" s="115"/>
      <c r="I140" s="115"/>
      <c r="J140" s="115"/>
      <c r="K140" s="115"/>
      <c r="L140" s="115"/>
      <c r="M140" s="115"/>
      <c r="N140" s="115"/>
      <c r="O140" s="115"/>
      <c r="P140" s="115"/>
      <c r="Q140" s="115"/>
      <c r="R140" s="115"/>
      <c r="S140" s="119"/>
      <c r="T140" s="119"/>
      <c r="U140" s="119"/>
      <c r="V140" s="119"/>
      <c r="W140" s="119"/>
      <c r="X140" s="119"/>
      <c r="Y140" s="120">
        <v>1062051.99</v>
      </c>
      <c r="Z140" s="120"/>
      <c r="AA140" s="120">
        <v>-66384.19</v>
      </c>
      <c r="AB140" s="121">
        <v>2577509.11</v>
      </c>
      <c r="AC140" s="121">
        <v>0</v>
      </c>
      <c r="AD140" s="121">
        <v>146915</v>
      </c>
      <c r="AE140" s="121">
        <v>0</v>
      </c>
      <c r="AF140" s="121">
        <v>305551</v>
      </c>
      <c r="AG140" s="121">
        <v>13027.72</v>
      </c>
      <c r="AH140" s="121">
        <v>0</v>
      </c>
      <c r="AI140" s="121">
        <v>0</v>
      </c>
      <c r="AJ140" s="121">
        <v>169832.93</v>
      </c>
      <c r="AK140" s="121">
        <v>0</v>
      </c>
      <c r="AL140" s="121">
        <v>0</v>
      </c>
      <c r="AM140" s="121">
        <v>0</v>
      </c>
      <c r="AN140" s="121">
        <v>12448.21</v>
      </c>
      <c r="AO140" s="121">
        <v>0</v>
      </c>
      <c r="AP140" s="121">
        <v>0</v>
      </c>
      <c r="AQ140" s="121">
        <v>0</v>
      </c>
      <c r="AR140" s="121">
        <v>0</v>
      </c>
      <c r="AS140" s="121">
        <v>0</v>
      </c>
      <c r="AT140" s="121">
        <v>0</v>
      </c>
      <c r="AU140" s="121">
        <v>51442.5</v>
      </c>
      <c r="AV140" s="121">
        <v>67948</v>
      </c>
      <c r="AW140" s="121">
        <v>1483097.85</v>
      </c>
      <c r="AX140" s="121">
        <v>2902.5</v>
      </c>
      <c r="AY140" s="121">
        <v>284811.57</v>
      </c>
      <c r="AZ140" s="121">
        <v>54531.07</v>
      </c>
      <c r="BA140" s="121">
        <v>173495.41</v>
      </c>
      <c r="BB140" s="121">
        <v>0</v>
      </c>
      <c r="BC140" s="121">
        <v>69127.929999999993</v>
      </c>
      <c r="BD140" s="121">
        <v>5358.07</v>
      </c>
      <c r="BE140" s="121">
        <v>14460.19</v>
      </c>
      <c r="BF140" s="121">
        <v>0</v>
      </c>
      <c r="BG140" s="121">
        <v>0</v>
      </c>
      <c r="BH140" s="121">
        <v>84903.89</v>
      </c>
      <c r="BI140" s="121">
        <v>5700</v>
      </c>
      <c r="BJ140" s="121">
        <v>36724.6</v>
      </c>
      <c r="BK140" s="121">
        <v>0</v>
      </c>
      <c r="BL140" s="121">
        <v>85529.17</v>
      </c>
      <c r="BM140" s="121">
        <v>0</v>
      </c>
      <c r="BN140" s="121">
        <v>2792.92</v>
      </c>
      <c r="BO140" s="121">
        <v>109152.06000000023</v>
      </c>
      <c r="BP140" s="121">
        <v>9894.4599999999991</v>
      </c>
      <c r="BQ140" s="121">
        <v>0</v>
      </c>
      <c r="BR140" s="121">
        <v>92232.71</v>
      </c>
      <c r="BS140" s="121">
        <v>4895</v>
      </c>
      <c r="BT140" s="121">
        <v>7915.2</v>
      </c>
      <c r="BU140" s="121">
        <v>166437.51999999999</v>
      </c>
      <c r="BV140" s="121">
        <v>200852.16</v>
      </c>
      <c r="BW140" s="121">
        <v>6810</v>
      </c>
      <c r="BX140" s="121">
        <v>302175.52</v>
      </c>
      <c r="BY140" s="121">
        <v>0</v>
      </c>
      <c r="BZ140" s="121">
        <v>0</v>
      </c>
      <c r="CA140" s="121">
        <v>80142.19</v>
      </c>
      <c r="CB140" s="121">
        <v>0</v>
      </c>
      <c r="CC140" s="121">
        <v>0</v>
      </c>
      <c r="CD140" s="121">
        <v>8743</v>
      </c>
      <c r="CE140" s="121">
        <v>0</v>
      </c>
      <c r="CF140" s="121">
        <v>80142.19</v>
      </c>
      <c r="CG140" s="121">
        <v>0</v>
      </c>
      <c r="CH140" s="121">
        <v>0</v>
      </c>
      <c r="CI140" s="121">
        <v>8743</v>
      </c>
      <c r="CJ140" s="121">
        <v>13758</v>
      </c>
      <c r="CK140" s="121">
        <v>0</v>
      </c>
      <c r="CL140" s="121">
        <v>1122784.47</v>
      </c>
      <c r="CM140" s="121"/>
      <c r="CN140" s="121">
        <v>0</v>
      </c>
      <c r="CO140" s="121">
        <v>0</v>
      </c>
      <c r="CP140" s="121">
        <v>0</v>
      </c>
      <c r="CQ140" s="121">
        <v>0</v>
      </c>
      <c r="CR140" s="118"/>
      <c r="CS140" s="33">
        <v>1122784.47</v>
      </c>
      <c r="CT140" s="33">
        <v>0</v>
      </c>
      <c r="CU140" s="65">
        <v>1202926.6599999999</v>
      </c>
      <c r="CV140" s="65">
        <v>-80142.19</v>
      </c>
      <c r="CW140" s="65">
        <v>-80142.189999999944</v>
      </c>
      <c r="CX140" s="33">
        <v>-80142.19</v>
      </c>
      <c r="CY140" s="33">
        <v>1122784.47</v>
      </c>
      <c r="CZ140" s="66">
        <v>0</v>
      </c>
      <c r="DA140" s="33">
        <v>0</v>
      </c>
      <c r="DB140" s="33">
        <v>0</v>
      </c>
      <c r="DC140" s="33">
        <v>-9.9999997764825821E-3</v>
      </c>
      <c r="DD140" s="65">
        <v>-80142.19</v>
      </c>
      <c r="DF140" s="33">
        <v>0</v>
      </c>
      <c r="DI140" s="33">
        <v>1122784.47</v>
      </c>
      <c r="DJ140" s="33">
        <v>0</v>
      </c>
      <c r="DK140" s="65">
        <v>1202926.6599999999</v>
      </c>
      <c r="DL140" s="65">
        <v>-80142.19</v>
      </c>
      <c r="DQ140" s="115">
        <v>3302142</v>
      </c>
      <c r="DS140" s="33">
        <v>0</v>
      </c>
      <c r="DT140" s="33">
        <v>3344674.47</v>
      </c>
      <c r="DU140" s="33">
        <v>3283941.99</v>
      </c>
      <c r="DV140" s="33">
        <v>60732.479999999981</v>
      </c>
      <c r="DW140" s="33">
        <v>88885.19</v>
      </c>
      <c r="DX140" s="33">
        <v>22501</v>
      </c>
      <c r="DY140" s="33">
        <v>66384.19</v>
      </c>
    </row>
    <row r="141" spans="2:129" x14ac:dyDescent="0.35">
      <c r="B141" s="87">
        <v>2149</v>
      </c>
      <c r="C141" s="115">
        <v>3302149</v>
      </c>
      <c r="D141" s="116" t="s">
        <v>399</v>
      </c>
      <c r="E141" s="116" t="s">
        <v>400</v>
      </c>
      <c r="F141" s="117"/>
      <c r="G141" s="118"/>
      <c r="H141" s="115"/>
      <c r="I141" s="115"/>
      <c r="J141" s="115"/>
      <c r="K141" s="115"/>
      <c r="L141" s="115"/>
      <c r="M141" s="115"/>
      <c r="N141" s="115"/>
      <c r="O141" s="115"/>
      <c r="P141" s="115"/>
      <c r="Q141" s="115"/>
      <c r="R141" s="115"/>
      <c r="S141" s="119"/>
      <c r="T141" s="119"/>
      <c r="U141" s="119"/>
      <c r="V141" s="119"/>
      <c r="W141" s="119"/>
      <c r="X141" s="119"/>
      <c r="Y141" s="120">
        <v>433730.85</v>
      </c>
      <c r="Z141" s="120"/>
      <c r="AA141" s="120">
        <v>-49862.77</v>
      </c>
      <c r="AB141" s="121">
        <v>2118544.67</v>
      </c>
      <c r="AC141" s="121">
        <v>0</v>
      </c>
      <c r="AD141" s="121">
        <v>352332.16</v>
      </c>
      <c r="AE141" s="121">
        <v>0</v>
      </c>
      <c r="AF141" s="121">
        <v>258925</v>
      </c>
      <c r="AG141" s="121">
        <v>3656.93</v>
      </c>
      <c r="AH141" s="121">
        <v>0</v>
      </c>
      <c r="AI141" s="121">
        <v>0</v>
      </c>
      <c r="AJ141" s="121">
        <v>28906.499999998858</v>
      </c>
      <c r="AK141" s="121">
        <v>0</v>
      </c>
      <c r="AL141" s="121">
        <v>0</v>
      </c>
      <c r="AM141" s="121">
        <v>0</v>
      </c>
      <c r="AN141" s="121">
        <v>4585.6499999999996</v>
      </c>
      <c r="AO141" s="121">
        <v>4362.1000000000004</v>
      </c>
      <c r="AP141" s="121">
        <v>0</v>
      </c>
      <c r="AQ141" s="121">
        <v>0</v>
      </c>
      <c r="AR141" s="121">
        <v>0</v>
      </c>
      <c r="AS141" s="121">
        <v>0</v>
      </c>
      <c r="AT141" s="121">
        <v>0</v>
      </c>
      <c r="AU141" s="121">
        <v>31597.29</v>
      </c>
      <c r="AV141" s="121">
        <v>57254</v>
      </c>
      <c r="AW141" s="121">
        <v>1270469.98</v>
      </c>
      <c r="AX141" s="121">
        <v>0</v>
      </c>
      <c r="AY141" s="121">
        <v>327078.59000000003</v>
      </c>
      <c r="AZ141" s="121">
        <v>49148.67</v>
      </c>
      <c r="BA141" s="121">
        <v>272568.44</v>
      </c>
      <c r="BB141" s="121">
        <v>0</v>
      </c>
      <c r="BC141" s="121">
        <v>82685.45</v>
      </c>
      <c r="BD141" s="121">
        <v>693</v>
      </c>
      <c r="BE141" s="121">
        <v>7435.5</v>
      </c>
      <c r="BF141" s="121">
        <v>0</v>
      </c>
      <c r="BG141" s="121">
        <v>0</v>
      </c>
      <c r="BH141" s="121">
        <v>43610.48</v>
      </c>
      <c r="BI141" s="121">
        <v>1575.88</v>
      </c>
      <c r="BJ141" s="121">
        <v>1562.41</v>
      </c>
      <c r="BK141" s="121">
        <v>7295.94</v>
      </c>
      <c r="BL141" s="121">
        <v>59484.89</v>
      </c>
      <c r="BM141" s="121">
        <v>0</v>
      </c>
      <c r="BN141" s="121">
        <v>7346.08</v>
      </c>
      <c r="BO141" s="121">
        <v>153764.62</v>
      </c>
      <c r="BP141" s="121">
        <v>6141.8</v>
      </c>
      <c r="BQ141" s="121">
        <v>72.12</v>
      </c>
      <c r="BR141" s="121">
        <v>37549.360000000001</v>
      </c>
      <c r="BS141" s="121">
        <v>4895</v>
      </c>
      <c r="BT141" s="121">
        <v>2192</v>
      </c>
      <c r="BU141" s="121">
        <v>160655.98000000001</v>
      </c>
      <c r="BV141" s="121">
        <v>201148.11</v>
      </c>
      <c r="BW141" s="121">
        <v>180</v>
      </c>
      <c r="BX141" s="121">
        <v>188320.07</v>
      </c>
      <c r="BY141" s="121">
        <v>0</v>
      </c>
      <c r="BZ141" s="121">
        <v>0</v>
      </c>
      <c r="CA141" s="121">
        <v>50612.77</v>
      </c>
      <c r="CB141" s="121">
        <v>0</v>
      </c>
      <c r="CC141" s="121">
        <v>0</v>
      </c>
      <c r="CD141" s="121">
        <v>8258.1299999999992</v>
      </c>
      <c r="CE141" s="121">
        <v>0</v>
      </c>
      <c r="CF141" s="121">
        <v>50612.77</v>
      </c>
      <c r="CG141" s="121">
        <v>0</v>
      </c>
      <c r="CH141" s="121">
        <v>0</v>
      </c>
      <c r="CI141" s="121">
        <v>8258.1299999999992</v>
      </c>
      <c r="CJ141" s="121">
        <v>750</v>
      </c>
      <c r="CK141" s="121">
        <v>0</v>
      </c>
      <c r="CL141" s="121">
        <v>357408.01000000013</v>
      </c>
      <c r="CM141" s="121"/>
      <c r="CN141" s="121">
        <v>0</v>
      </c>
      <c r="CO141" s="121">
        <v>0</v>
      </c>
      <c r="CP141" s="121">
        <v>0</v>
      </c>
      <c r="CQ141" s="121">
        <v>0</v>
      </c>
      <c r="CR141" s="118"/>
      <c r="CS141" s="33">
        <v>357408.01000000013</v>
      </c>
      <c r="CT141" s="33">
        <v>0</v>
      </c>
      <c r="CU141" s="65">
        <v>408020.78</v>
      </c>
      <c r="CV141" s="65">
        <v>-50612.77</v>
      </c>
      <c r="CW141" s="65">
        <v>-50612.769999999902</v>
      </c>
      <c r="CX141" s="33">
        <v>-50612.77</v>
      </c>
      <c r="CY141" s="33">
        <v>357408.01</v>
      </c>
      <c r="CZ141" s="66">
        <v>0</v>
      </c>
      <c r="DA141" s="33">
        <v>0</v>
      </c>
      <c r="DB141" s="33">
        <v>5703.3500000011409</v>
      </c>
      <c r="DC141" s="33">
        <v>0</v>
      </c>
      <c r="DD141" s="65">
        <v>-50612.77</v>
      </c>
      <c r="DF141" s="33">
        <v>9.4587448984384537E-11</v>
      </c>
      <c r="DI141" s="33">
        <v>357408.01000000013</v>
      </c>
      <c r="DJ141" s="33">
        <v>0</v>
      </c>
      <c r="DK141" s="65">
        <v>408020.78</v>
      </c>
      <c r="DL141" s="65">
        <v>-50612.77</v>
      </c>
      <c r="DQ141" s="115">
        <v>3302149</v>
      </c>
      <c r="DS141" s="33">
        <v>0</v>
      </c>
      <c r="DT141" s="33">
        <v>2860164.2999999993</v>
      </c>
      <c r="DU141" s="33">
        <v>2936487.1399999992</v>
      </c>
      <c r="DV141" s="33">
        <v>-76322.839999999851</v>
      </c>
      <c r="DW141" s="33">
        <v>58870.899999999994</v>
      </c>
      <c r="DX141" s="33">
        <v>9008.1299999999992</v>
      </c>
      <c r="DY141" s="33">
        <v>49862.77</v>
      </c>
    </row>
    <row r="142" spans="2:129" x14ac:dyDescent="0.35">
      <c r="B142" s="87">
        <v>2157</v>
      </c>
      <c r="C142" s="115">
        <v>3302157</v>
      </c>
      <c r="D142" s="116" t="s">
        <v>401</v>
      </c>
      <c r="E142" s="116" t="s">
        <v>402</v>
      </c>
      <c r="F142" s="117"/>
      <c r="G142" s="118"/>
      <c r="H142" s="115"/>
      <c r="I142" s="115"/>
      <c r="J142" s="115"/>
      <c r="K142" s="115"/>
      <c r="L142" s="115"/>
      <c r="M142" s="115"/>
      <c r="N142" s="115"/>
      <c r="O142" s="115"/>
      <c r="P142" s="115"/>
      <c r="Q142" s="115"/>
      <c r="R142" s="115"/>
      <c r="S142" s="119"/>
      <c r="T142" s="119"/>
      <c r="U142" s="119"/>
      <c r="V142" s="119"/>
      <c r="W142" s="119"/>
      <c r="X142" s="119"/>
      <c r="Y142" s="120"/>
      <c r="Z142" s="120">
        <v>-144180.46</v>
      </c>
      <c r="AA142" s="120">
        <v>-14610.41</v>
      </c>
      <c r="AB142" s="121">
        <v>1959856.99</v>
      </c>
      <c r="AC142" s="121">
        <v>0</v>
      </c>
      <c r="AD142" s="121">
        <v>8925</v>
      </c>
      <c r="AE142" s="121">
        <v>0</v>
      </c>
      <c r="AF142" s="121">
        <v>145076.5</v>
      </c>
      <c r="AG142" s="121">
        <v>5656.93</v>
      </c>
      <c r="AH142" s="121">
        <v>0</v>
      </c>
      <c r="AI142" s="121">
        <v>0</v>
      </c>
      <c r="AJ142" s="121">
        <v>54364.56</v>
      </c>
      <c r="AK142" s="121">
        <v>0</v>
      </c>
      <c r="AL142" s="121">
        <v>0</v>
      </c>
      <c r="AM142" s="121">
        <v>0</v>
      </c>
      <c r="AN142" s="121">
        <v>238.5</v>
      </c>
      <c r="AO142" s="121">
        <v>0</v>
      </c>
      <c r="AP142" s="121">
        <v>0</v>
      </c>
      <c r="AQ142" s="121">
        <v>0</v>
      </c>
      <c r="AR142" s="121">
        <v>0</v>
      </c>
      <c r="AS142" s="121">
        <v>0</v>
      </c>
      <c r="AT142" s="121">
        <v>0</v>
      </c>
      <c r="AU142" s="121">
        <v>20102.080000000002</v>
      </c>
      <c r="AV142" s="121">
        <v>85388</v>
      </c>
      <c r="AW142" s="121">
        <v>1248328.6100000001</v>
      </c>
      <c r="AX142" s="121">
        <v>0</v>
      </c>
      <c r="AY142" s="121">
        <v>195706.03</v>
      </c>
      <c r="AZ142" s="121">
        <v>74385.77</v>
      </c>
      <c r="BA142" s="121">
        <v>232982.5</v>
      </c>
      <c r="BB142" s="121">
        <v>0</v>
      </c>
      <c r="BC142" s="121">
        <v>52324.17</v>
      </c>
      <c r="BD142" s="121">
        <v>234.58</v>
      </c>
      <c r="BE142" s="121">
        <v>0</v>
      </c>
      <c r="BF142" s="121">
        <v>0</v>
      </c>
      <c r="BG142" s="121">
        <v>0</v>
      </c>
      <c r="BH142" s="121">
        <v>6991.42</v>
      </c>
      <c r="BI142" s="121">
        <v>0</v>
      </c>
      <c r="BJ142" s="121">
        <v>4337.87</v>
      </c>
      <c r="BK142" s="121">
        <v>2927.07</v>
      </c>
      <c r="BL142" s="121">
        <v>46807.75</v>
      </c>
      <c r="BM142" s="121">
        <v>0</v>
      </c>
      <c r="BN142" s="121">
        <v>11819.8</v>
      </c>
      <c r="BO142" s="121">
        <v>98810.960000000152</v>
      </c>
      <c r="BP142" s="121">
        <v>0</v>
      </c>
      <c r="BQ142" s="121">
        <v>3770</v>
      </c>
      <c r="BR142" s="121">
        <v>26909.35</v>
      </c>
      <c r="BS142" s="121">
        <v>4895</v>
      </c>
      <c r="BT142" s="121">
        <v>0</v>
      </c>
      <c r="BU142" s="121">
        <v>76682.490000000005</v>
      </c>
      <c r="BV142" s="121">
        <v>34723.620000000003</v>
      </c>
      <c r="BW142" s="121">
        <v>2895</v>
      </c>
      <c r="BX142" s="121">
        <v>124234.95</v>
      </c>
      <c r="BY142" s="121">
        <v>0</v>
      </c>
      <c r="BZ142" s="121">
        <v>0</v>
      </c>
      <c r="CA142" s="121">
        <v>14610.41</v>
      </c>
      <c r="CB142" s="121">
        <v>0</v>
      </c>
      <c r="CC142" s="121">
        <v>0</v>
      </c>
      <c r="CD142" s="121">
        <v>8677.75</v>
      </c>
      <c r="CE142" s="121">
        <v>0</v>
      </c>
      <c r="CF142" s="121">
        <v>14610.41</v>
      </c>
      <c r="CG142" s="121">
        <v>0</v>
      </c>
      <c r="CH142" s="121">
        <v>0</v>
      </c>
      <c r="CI142" s="121">
        <v>8677.75</v>
      </c>
      <c r="CJ142" s="121">
        <v>0</v>
      </c>
      <c r="CK142" s="121">
        <v>0</v>
      </c>
      <c r="CL142" s="121">
        <v>-128949.25000000049</v>
      </c>
      <c r="CM142" s="121"/>
      <c r="CN142" s="121">
        <v>0</v>
      </c>
      <c r="CO142" s="121">
        <v>0</v>
      </c>
      <c r="CP142" s="121">
        <v>0</v>
      </c>
      <c r="CQ142" s="121">
        <v>0</v>
      </c>
      <c r="CR142" s="118"/>
      <c r="CS142" s="33">
        <v>-128949.25000000049</v>
      </c>
      <c r="CT142" s="33">
        <v>0</v>
      </c>
      <c r="CU142" s="65">
        <v>-114338.84</v>
      </c>
      <c r="CV142" s="65">
        <v>-14610.41</v>
      </c>
      <c r="CW142" s="65">
        <v>-14610.410000000498</v>
      </c>
      <c r="CX142" s="33">
        <v>-14610.41</v>
      </c>
      <c r="CY142" s="33">
        <v>-128949.25</v>
      </c>
      <c r="CZ142" s="66">
        <v>0</v>
      </c>
      <c r="DA142" s="33">
        <v>0</v>
      </c>
      <c r="DB142" s="33">
        <v>0</v>
      </c>
      <c r="DC142" s="33">
        <v>-0.45999999984633178</v>
      </c>
      <c r="DD142" s="65">
        <v>-14610.41</v>
      </c>
      <c r="DF142" s="33">
        <v>-4.9840309657156467E-10</v>
      </c>
      <c r="DI142" s="33">
        <v>-128949.25000000049</v>
      </c>
      <c r="DJ142" s="33">
        <v>0</v>
      </c>
      <c r="DK142" s="65">
        <v>-114338.84</v>
      </c>
      <c r="DL142" s="65">
        <v>-14610.41</v>
      </c>
      <c r="DQ142" s="115">
        <v>3302157</v>
      </c>
      <c r="DS142" s="33">
        <v>0</v>
      </c>
      <c r="DT142" s="33">
        <v>2279608.5600000005</v>
      </c>
      <c r="DU142" s="33">
        <v>2264377.350000001</v>
      </c>
      <c r="DV142" s="33">
        <v>15231.209999999497</v>
      </c>
      <c r="DW142" s="33">
        <v>23288.16</v>
      </c>
      <c r="DX142" s="33">
        <v>8677.75</v>
      </c>
      <c r="DY142" s="33">
        <v>14610.41</v>
      </c>
    </row>
    <row r="143" spans="2:129" x14ac:dyDescent="0.35">
      <c r="B143" s="87">
        <v>2160</v>
      </c>
      <c r="C143" s="115">
        <v>3302160</v>
      </c>
      <c r="D143" s="116" t="s">
        <v>403</v>
      </c>
      <c r="E143" s="116" t="s">
        <v>404</v>
      </c>
      <c r="F143" s="117"/>
      <c r="G143" s="118"/>
      <c r="H143" s="115"/>
      <c r="I143" s="115"/>
      <c r="J143" s="115"/>
      <c r="K143" s="115"/>
      <c r="L143" s="115"/>
      <c r="M143" s="115"/>
      <c r="N143" s="115"/>
      <c r="O143" s="115"/>
      <c r="P143" s="115"/>
      <c r="Q143" s="115"/>
      <c r="R143" s="115"/>
      <c r="S143" s="119"/>
      <c r="T143" s="119"/>
      <c r="U143" s="119"/>
      <c r="V143" s="119"/>
      <c r="W143" s="119"/>
      <c r="X143" s="119"/>
      <c r="Y143" s="120">
        <v>283191.15999999997</v>
      </c>
      <c r="Z143" s="120"/>
      <c r="AA143" s="120">
        <v>-5507.99</v>
      </c>
      <c r="AB143" s="121">
        <v>1905652.09</v>
      </c>
      <c r="AC143" s="121">
        <v>0</v>
      </c>
      <c r="AD143" s="121">
        <v>79368.850000000006</v>
      </c>
      <c r="AE143" s="121">
        <v>0</v>
      </c>
      <c r="AF143" s="121">
        <v>306580</v>
      </c>
      <c r="AG143" s="121">
        <v>4970.79</v>
      </c>
      <c r="AH143" s="121">
        <v>0</v>
      </c>
      <c r="AI143" s="121">
        <v>0</v>
      </c>
      <c r="AJ143" s="121">
        <v>48989.29</v>
      </c>
      <c r="AK143" s="121">
        <v>0</v>
      </c>
      <c r="AL143" s="121">
        <v>0</v>
      </c>
      <c r="AM143" s="121">
        <v>0</v>
      </c>
      <c r="AN143" s="121">
        <v>92792.45</v>
      </c>
      <c r="AO143" s="121">
        <v>0</v>
      </c>
      <c r="AP143" s="121">
        <v>0</v>
      </c>
      <c r="AQ143" s="121">
        <v>0</v>
      </c>
      <c r="AR143" s="121">
        <v>0</v>
      </c>
      <c r="AS143" s="121">
        <v>0</v>
      </c>
      <c r="AT143" s="121">
        <v>0</v>
      </c>
      <c r="AU143" s="121">
        <v>52623.88</v>
      </c>
      <c r="AV143" s="121">
        <v>19469</v>
      </c>
      <c r="AW143" s="121">
        <v>1115700.55</v>
      </c>
      <c r="AX143" s="121">
        <v>0</v>
      </c>
      <c r="AY143" s="121">
        <v>426957.2</v>
      </c>
      <c r="AZ143" s="121">
        <v>37084.82</v>
      </c>
      <c r="BA143" s="121">
        <v>217343.69</v>
      </c>
      <c r="BB143" s="121">
        <v>0</v>
      </c>
      <c r="BC143" s="121">
        <v>98841.45</v>
      </c>
      <c r="BD143" s="121">
        <v>559.35</v>
      </c>
      <c r="BE143" s="121">
        <v>7967.03</v>
      </c>
      <c r="BF143" s="121">
        <v>0</v>
      </c>
      <c r="BG143" s="121">
        <v>0</v>
      </c>
      <c r="BH143" s="121">
        <v>16324.73</v>
      </c>
      <c r="BI143" s="121">
        <v>3146.55</v>
      </c>
      <c r="BJ143" s="121">
        <v>31576.51</v>
      </c>
      <c r="BK143" s="121">
        <v>2664.48</v>
      </c>
      <c r="BL143" s="121">
        <v>33074.629999999997</v>
      </c>
      <c r="BM143" s="121">
        <v>0</v>
      </c>
      <c r="BN143" s="121">
        <v>1763.82</v>
      </c>
      <c r="BO143" s="121">
        <v>92840.560000000492</v>
      </c>
      <c r="BP143" s="121">
        <v>10759.51</v>
      </c>
      <c r="BQ143" s="121">
        <v>96.16</v>
      </c>
      <c r="BR143" s="121">
        <v>97013.26</v>
      </c>
      <c r="BS143" s="121">
        <v>10320</v>
      </c>
      <c r="BT143" s="121">
        <v>8052.2</v>
      </c>
      <c r="BU143" s="121">
        <v>56779.519999999997</v>
      </c>
      <c r="BV143" s="121">
        <v>37352.06</v>
      </c>
      <c r="BW143" s="121">
        <v>0</v>
      </c>
      <c r="BX143" s="121">
        <v>79620.94</v>
      </c>
      <c r="BY143" s="121">
        <v>0</v>
      </c>
      <c r="BZ143" s="121">
        <v>0</v>
      </c>
      <c r="CA143" s="121">
        <v>15325.29</v>
      </c>
      <c r="CB143" s="121">
        <v>0</v>
      </c>
      <c r="CC143" s="121">
        <v>0</v>
      </c>
      <c r="CD143" s="121">
        <v>7948.75</v>
      </c>
      <c r="CE143" s="121">
        <v>17061.119999999995</v>
      </c>
      <c r="CF143" s="121">
        <v>15325.29</v>
      </c>
      <c r="CG143" s="121">
        <v>0</v>
      </c>
      <c r="CH143" s="121">
        <v>0</v>
      </c>
      <c r="CI143" s="121">
        <v>0</v>
      </c>
      <c r="CJ143" s="121">
        <v>34827.17</v>
      </c>
      <c r="CK143" s="121"/>
      <c r="CL143" s="121">
        <v>392473.2</v>
      </c>
      <c r="CM143" s="121"/>
      <c r="CN143" s="121">
        <v>0</v>
      </c>
      <c r="CO143" s="121">
        <v>0</v>
      </c>
      <c r="CP143" s="121">
        <v>0</v>
      </c>
      <c r="CQ143" s="121">
        <v>0</v>
      </c>
      <c r="CR143" s="118"/>
      <c r="CS143" s="33">
        <v>392473.2</v>
      </c>
      <c r="CT143" s="33">
        <v>0</v>
      </c>
      <c r="CU143" s="65">
        <v>407798.49</v>
      </c>
      <c r="CV143" s="65">
        <v>-15325.29</v>
      </c>
      <c r="CW143" s="65">
        <v>-15325.289999999979</v>
      </c>
      <c r="CX143" s="33">
        <v>-15325.29</v>
      </c>
      <c r="CY143" s="33">
        <v>392473.2</v>
      </c>
      <c r="CZ143" s="66">
        <v>17061.119999999995</v>
      </c>
      <c r="DA143" s="33">
        <v>17061.119999999995</v>
      </c>
      <c r="DB143" s="33">
        <v>0</v>
      </c>
      <c r="DC143" s="33">
        <v>-3.9999999513383955E-2</v>
      </c>
      <c r="DD143" s="65">
        <v>-15325.29</v>
      </c>
      <c r="DF143" s="33">
        <v>2.1827872842550278E-11</v>
      </c>
      <c r="DI143" s="33">
        <v>392473.2</v>
      </c>
      <c r="DJ143" s="33">
        <v>0</v>
      </c>
      <c r="DK143" s="65">
        <v>407798.49</v>
      </c>
      <c r="DL143" s="65">
        <v>-15325.29</v>
      </c>
      <c r="DQ143" s="115">
        <v>3302160</v>
      </c>
      <c r="DS143" s="33">
        <v>0</v>
      </c>
      <c r="DT143" s="33">
        <v>2510446.3500000006</v>
      </c>
      <c r="DU143" s="33">
        <v>2401164.3100000005</v>
      </c>
      <c r="DV143" s="33">
        <v>109282.04000000004</v>
      </c>
      <c r="DW143" s="33">
        <v>40335.159999999996</v>
      </c>
      <c r="DX143" s="33">
        <v>34827.17</v>
      </c>
      <c r="DY143" s="33">
        <v>5507.989999999998</v>
      </c>
    </row>
    <row r="144" spans="2:129" x14ac:dyDescent="0.35">
      <c r="B144" s="87">
        <v>2176</v>
      </c>
      <c r="C144" s="115">
        <v>3302176</v>
      </c>
      <c r="D144" s="116" t="s">
        <v>405</v>
      </c>
      <c r="E144" s="116" t="s">
        <v>406</v>
      </c>
      <c r="F144" s="117"/>
      <c r="G144" s="118"/>
      <c r="H144" s="115"/>
      <c r="I144" s="115"/>
      <c r="J144" s="115"/>
      <c r="K144" s="115"/>
      <c r="L144" s="115"/>
      <c r="M144" s="115"/>
      <c r="N144" s="115"/>
      <c r="O144" s="115"/>
      <c r="P144" s="115"/>
      <c r="Q144" s="115"/>
      <c r="R144" s="115"/>
      <c r="S144" s="119"/>
      <c r="T144" s="119"/>
      <c r="U144" s="119"/>
      <c r="V144" s="119"/>
      <c r="W144" s="119"/>
      <c r="X144" s="119"/>
      <c r="Y144" s="120">
        <v>251570.23</v>
      </c>
      <c r="Z144" s="120"/>
      <c r="AA144" s="120">
        <v>-45667.29</v>
      </c>
      <c r="AB144" s="121">
        <v>3720953.39</v>
      </c>
      <c r="AC144" s="121">
        <v>0</v>
      </c>
      <c r="AD144" s="121">
        <v>216707.5</v>
      </c>
      <c r="AE144" s="121">
        <v>0</v>
      </c>
      <c r="AF144" s="121">
        <v>408856.5</v>
      </c>
      <c r="AG144" s="121">
        <v>8056.93</v>
      </c>
      <c r="AH144" s="121">
        <v>0</v>
      </c>
      <c r="AI144" s="121">
        <v>0</v>
      </c>
      <c r="AJ144" s="121">
        <v>274131.25999999978</v>
      </c>
      <c r="AK144" s="121">
        <v>0</v>
      </c>
      <c r="AL144" s="121">
        <v>0</v>
      </c>
      <c r="AM144" s="121">
        <v>0</v>
      </c>
      <c r="AN144" s="121">
        <v>18948.849999999999</v>
      </c>
      <c r="AO144" s="121">
        <v>2132.0500000000002</v>
      </c>
      <c r="AP144" s="121">
        <v>0</v>
      </c>
      <c r="AQ144" s="121">
        <v>0</v>
      </c>
      <c r="AR144" s="121">
        <v>0</v>
      </c>
      <c r="AS144" s="121">
        <v>0</v>
      </c>
      <c r="AT144" s="121">
        <v>0</v>
      </c>
      <c r="AU144" s="121">
        <v>69095</v>
      </c>
      <c r="AV144" s="121">
        <v>108579</v>
      </c>
      <c r="AW144" s="121">
        <v>1698229.17</v>
      </c>
      <c r="AX144" s="121">
        <v>0</v>
      </c>
      <c r="AY144" s="121">
        <v>895563.29</v>
      </c>
      <c r="AZ144" s="121">
        <v>47620.52</v>
      </c>
      <c r="BA144" s="121">
        <v>248937.8</v>
      </c>
      <c r="BB144" s="121">
        <v>167670.15</v>
      </c>
      <c r="BC144" s="121">
        <v>92652.76</v>
      </c>
      <c r="BD144" s="121">
        <v>1836.81</v>
      </c>
      <c r="BE144" s="121">
        <v>12540.29</v>
      </c>
      <c r="BF144" s="121">
        <v>0</v>
      </c>
      <c r="BG144" s="121">
        <v>0</v>
      </c>
      <c r="BH144" s="121">
        <v>60383.44</v>
      </c>
      <c r="BI144" s="121">
        <v>0</v>
      </c>
      <c r="BJ144" s="121">
        <v>11161.91</v>
      </c>
      <c r="BK144" s="121">
        <v>4339.3100000000004</v>
      </c>
      <c r="BL144" s="121">
        <v>116818.7</v>
      </c>
      <c r="BM144" s="121">
        <v>0</v>
      </c>
      <c r="BN144" s="121">
        <v>14940.95</v>
      </c>
      <c r="BO144" s="121">
        <v>130972.83</v>
      </c>
      <c r="BP144" s="121">
        <v>50867.14</v>
      </c>
      <c r="BQ144" s="121">
        <v>52775.3</v>
      </c>
      <c r="BR144" s="121">
        <v>204283.05</v>
      </c>
      <c r="BS144" s="121">
        <v>17853</v>
      </c>
      <c r="BT144" s="121">
        <v>0</v>
      </c>
      <c r="BU144" s="121">
        <v>90203.03</v>
      </c>
      <c r="BV144" s="121">
        <v>672485.64</v>
      </c>
      <c r="BW144" s="121">
        <v>180</v>
      </c>
      <c r="BX144" s="121">
        <v>169698.59</v>
      </c>
      <c r="BY144" s="121">
        <v>0</v>
      </c>
      <c r="BZ144" s="121">
        <v>0</v>
      </c>
      <c r="CA144" s="121">
        <v>10956.92</v>
      </c>
      <c r="CB144" s="121">
        <v>0</v>
      </c>
      <c r="CC144" s="121">
        <v>0</v>
      </c>
      <c r="CD144" s="121">
        <v>11884</v>
      </c>
      <c r="CE144" s="121">
        <v>24166.370000000003</v>
      </c>
      <c r="CF144" s="121">
        <v>10956.92</v>
      </c>
      <c r="CG144" s="121">
        <v>0</v>
      </c>
      <c r="CH144" s="121">
        <v>0</v>
      </c>
      <c r="CI144" s="121">
        <v>0</v>
      </c>
      <c r="CJ144" s="121">
        <v>1340</v>
      </c>
      <c r="CK144" s="121"/>
      <c r="CL144" s="121">
        <v>306060.10999999987</v>
      </c>
      <c r="CM144" s="121"/>
      <c r="CN144" s="121">
        <v>0</v>
      </c>
      <c r="CO144" s="121">
        <v>0</v>
      </c>
      <c r="CP144" s="121">
        <v>0</v>
      </c>
      <c r="CQ144" s="121">
        <v>0</v>
      </c>
      <c r="CR144" s="118"/>
      <c r="CS144" s="33">
        <v>306060.10999999987</v>
      </c>
      <c r="CT144" s="33">
        <v>0</v>
      </c>
      <c r="CU144" s="65">
        <v>317017.03000000003</v>
      </c>
      <c r="CV144" s="65">
        <v>-10956.92</v>
      </c>
      <c r="CW144" s="65">
        <v>-10956.920000000158</v>
      </c>
      <c r="CX144" s="33">
        <v>-10956.92</v>
      </c>
      <c r="CY144" s="33">
        <v>306060.11000000004</v>
      </c>
      <c r="CZ144" s="66">
        <v>24166.370000000003</v>
      </c>
      <c r="DA144" s="33">
        <v>24166.370000000003</v>
      </c>
      <c r="DB144" s="33">
        <v>995.02000000025146</v>
      </c>
      <c r="DC144" s="33">
        <v>0</v>
      </c>
      <c r="DD144" s="65">
        <v>-10956.92</v>
      </c>
      <c r="DF144" s="33">
        <v>-1.5825207810848951E-10</v>
      </c>
      <c r="DI144" s="33">
        <v>306060.10999999987</v>
      </c>
      <c r="DJ144" s="33">
        <v>0</v>
      </c>
      <c r="DK144" s="65">
        <v>317017.03000000003</v>
      </c>
      <c r="DL144" s="65">
        <v>-10956.92</v>
      </c>
      <c r="DQ144" s="115">
        <v>3302176</v>
      </c>
      <c r="DS144" s="33">
        <v>0</v>
      </c>
      <c r="DT144" s="33">
        <v>4827460.4799999995</v>
      </c>
      <c r="DU144" s="33">
        <v>4772970.5999999996</v>
      </c>
      <c r="DV144" s="33">
        <v>54489.879999999888</v>
      </c>
      <c r="DW144" s="33">
        <v>47007.29</v>
      </c>
      <c r="DX144" s="33">
        <v>1340</v>
      </c>
      <c r="DY144" s="33">
        <v>45667.29</v>
      </c>
    </row>
    <row r="145" spans="2:129" x14ac:dyDescent="0.35">
      <c r="B145" s="87">
        <v>2183</v>
      </c>
      <c r="C145" s="115">
        <v>3302183</v>
      </c>
      <c r="D145" s="116" t="s">
        <v>407</v>
      </c>
      <c r="E145" s="116" t="s">
        <v>408</v>
      </c>
      <c r="F145" s="117"/>
      <c r="G145" s="118"/>
      <c r="H145" s="115"/>
      <c r="I145" s="115"/>
      <c r="J145" s="115"/>
      <c r="K145" s="115"/>
      <c r="L145" s="115"/>
      <c r="M145" s="115"/>
      <c r="N145" s="115"/>
      <c r="O145" s="115"/>
      <c r="P145" s="115"/>
      <c r="Q145" s="115"/>
      <c r="R145" s="115"/>
      <c r="S145" s="119"/>
      <c r="T145" s="119"/>
      <c r="U145" s="119"/>
      <c r="V145" s="119"/>
      <c r="W145" s="119"/>
      <c r="X145" s="119"/>
      <c r="Y145" s="120"/>
      <c r="Z145" s="120">
        <v>-23439.37</v>
      </c>
      <c r="AA145" s="120">
        <v>-18989.46</v>
      </c>
      <c r="AB145" s="121">
        <v>2137187.81</v>
      </c>
      <c r="AC145" s="121">
        <v>0</v>
      </c>
      <c r="AD145" s="121">
        <v>87776.5</v>
      </c>
      <c r="AE145" s="121">
        <v>0</v>
      </c>
      <c r="AF145" s="121">
        <v>232072.75</v>
      </c>
      <c r="AG145" s="121">
        <v>400</v>
      </c>
      <c r="AH145" s="121">
        <v>0</v>
      </c>
      <c r="AI145" s="121">
        <v>0</v>
      </c>
      <c r="AJ145" s="121">
        <v>69662.660000000498</v>
      </c>
      <c r="AK145" s="121">
        <v>0</v>
      </c>
      <c r="AL145" s="121">
        <v>0</v>
      </c>
      <c r="AM145" s="121">
        <v>0</v>
      </c>
      <c r="AN145" s="121">
        <v>6431.48</v>
      </c>
      <c r="AO145" s="121">
        <v>0</v>
      </c>
      <c r="AP145" s="121">
        <v>0</v>
      </c>
      <c r="AQ145" s="121">
        <v>0</v>
      </c>
      <c r="AR145" s="121">
        <v>0</v>
      </c>
      <c r="AS145" s="121">
        <v>0</v>
      </c>
      <c r="AT145" s="121">
        <v>0</v>
      </c>
      <c r="AU145" s="121">
        <v>13552</v>
      </c>
      <c r="AV145" s="121">
        <v>66490</v>
      </c>
      <c r="AW145" s="121">
        <v>1137235.98</v>
      </c>
      <c r="AX145" s="121">
        <v>0</v>
      </c>
      <c r="AY145" s="121">
        <v>268331.40000000002</v>
      </c>
      <c r="AZ145" s="121">
        <v>90979.47</v>
      </c>
      <c r="BA145" s="121">
        <v>242704.7</v>
      </c>
      <c r="BB145" s="121">
        <v>0</v>
      </c>
      <c r="BC145" s="121">
        <v>71107.960000000006</v>
      </c>
      <c r="BD145" s="121">
        <v>85</v>
      </c>
      <c r="BE145" s="121">
        <v>9187.33</v>
      </c>
      <c r="BF145" s="121">
        <v>0</v>
      </c>
      <c r="BG145" s="121">
        <v>0</v>
      </c>
      <c r="BH145" s="121">
        <v>5868.1</v>
      </c>
      <c r="BI145" s="121">
        <v>0</v>
      </c>
      <c r="BJ145" s="121">
        <v>0</v>
      </c>
      <c r="BK145" s="121">
        <v>5778.72</v>
      </c>
      <c r="BL145" s="121">
        <v>69095.33</v>
      </c>
      <c r="BM145" s="121">
        <v>0</v>
      </c>
      <c r="BN145" s="121">
        <v>38001.46</v>
      </c>
      <c r="BO145" s="121">
        <v>107587.29</v>
      </c>
      <c r="BP145" s="121">
        <v>6708.56</v>
      </c>
      <c r="BQ145" s="121">
        <v>33575.72</v>
      </c>
      <c r="BR145" s="121">
        <v>6579.25</v>
      </c>
      <c r="BS145" s="121">
        <v>4895</v>
      </c>
      <c r="BT145" s="121">
        <v>0</v>
      </c>
      <c r="BU145" s="121">
        <v>145558.70000000001</v>
      </c>
      <c r="BV145" s="121">
        <v>150241.64000000001</v>
      </c>
      <c r="BW145" s="121">
        <v>0</v>
      </c>
      <c r="BX145" s="121">
        <v>89362.66</v>
      </c>
      <c r="BY145" s="121">
        <v>0</v>
      </c>
      <c r="BZ145" s="121">
        <v>0</v>
      </c>
      <c r="CA145" s="121">
        <v>26770.29</v>
      </c>
      <c r="CB145" s="121">
        <v>0</v>
      </c>
      <c r="CC145" s="121">
        <v>0</v>
      </c>
      <c r="CD145" s="121">
        <v>8646.25</v>
      </c>
      <c r="CE145" s="121">
        <v>0</v>
      </c>
      <c r="CF145" s="121">
        <v>26770.29</v>
      </c>
      <c r="CG145" s="121">
        <v>0</v>
      </c>
      <c r="CH145" s="121">
        <v>0</v>
      </c>
      <c r="CI145" s="121">
        <v>8646.25</v>
      </c>
      <c r="CJ145" s="121">
        <v>7780.83</v>
      </c>
      <c r="CK145" s="121">
        <v>0</v>
      </c>
      <c r="CL145" s="121">
        <v>80479.270000000135</v>
      </c>
      <c r="CM145" s="121"/>
      <c r="CN145" s="121">
        <v>0</v>
      </c>
      <c r="CO145" s="121">
        <v>0</v>
      </c>
      <c r="CP145" s="121">
        <v>0</v>
      </c>
      <c r="CQ145" s="121">
        <v>0</v>
      </c>
      <c r="CR145" s="118"/>
      <c r="CS145" s="33">
        <v>80479.270000000135</v>
      </c>
      <c r="CT145" s="33">
        <v>0</v>
      </c>
      <c r="CU145" s="65">
        <v>107249.56</v>
      </c>
      <c r="CV145" s="65">
        <v>-26770.29</v>
      </c>
      <c r="CW145" s="65">
        <v>-26770.289999999863</v>
      </c>
      <c r="CX145" s="33">
        <v>-26770.29</v>
      </c>
      <c r="CY145" s="33">
        <v>80479.26999999999</v>
      </c>
      <c r="CZ145" s="66">
        <v>0</v>
      </c>
      <c r="DA145" s="33">
        <v>0</v>
      </c>
      <c r="DB145" s="33">
        <v>2.9999999504070729E-2</v>
      </c>
      <c r="DC145" s="33">
        <v>0</v>
      </c>
      <c r="DD145" s="65">
        <v>-26770.29</v>
      </c>
      <c r="DF145" s="33">
        <v>1.3824319466948509E-10</v>
      </c>
      <c r="DI145" s="33">
        <v>80479.270000000135</v>
      </c>
      <c r="DJ145" s="33">
        <v>0</v>
      </c>
      <c r="DK145" s="65">
        <v>107249.56</v>
      </c>
      <c r="DL145" s="65">
        <v>-26770.29</v>
      </c>
      <c r="DQ145" s="115">
        <v>3302183</v>
      </c>
      <c r="DS145" s="33">
        <v>0</v>
      </c>
      <c r="DT145" s="33">
        <v>2613573.2000000007</v>
      </c>
      <c r="DU145" s="33">
        <v>2509654.5600000005</v>
      </c>
      <c r="DV145" s="33">
        <v>103918.64000000013</v>
      </c>
      <c r="DW145" s="33">
        <v>35416.54</v>
      </c>
      <c r="DX145" s="33">
        <v>16427.080000000002</v>
      </c>
      <c r="DY145" s="33">
        <v>18989.46</v>
      </c>
    </row>
    <row r="146" spans="2:129" x14ac:dyDescent="0.35">
      <c r="B146" s="87">
        <v>2184</v>
      </c>
      <c r="C146" s="115">
        <v>3302184</v>
      </c>
      <c r="D146" s="116" t="s">
        <v>409</v>
      </c>
      <c r="E146" s="116" t="s">
        <v>410</v>
      </c>
      <c r="F146" s="117"/>
      <c r="G146" s="118"/>
      <c r="H146" s="115"/>
      <c r="I146" s="115"/>
      <c r="J146" s="115"/>
      <c r="K146" s="115"/>
      <c r="L146" s="115"/>
      <c r="M146" s="115"/>
      <c r="N146" s="115"/>
      <c r="O146" s="115"/>
      <c r="P146" s="115"/>
      <c r="Q146" s="115"/>
      <c r="R146" s="115"/>
      <c r="S146" s="119"/>
      <c r="T146" s="119"/>
      <c r="U146" s="119"/>
      <c r="V146" s="119"/>
      <c r="W146" s="119"/>
      <c r="X146" s="119"/>
      <c r="Y146" s="120">
        <v>763080.63</v>
      </c>
      <c r="Z146" s="120"/>
      <c r="AA146" s="120">
        <v>-8518.44</v>
      </c>
      <c r="AB146" s="121">
        <v>2252535.9900000002</v>
      </c>
      <c r="AC146" s="121">
        <v>0</v>
      </c>
      <c r="AD146" s="121">
        <v>72007.5</v>
      </c>
      <c r="AE146" s="121">
        <v>0</v>
      </c>
      <c r="AF146" s="121">
        <v>193516.5</v>
      </c>
      <c r="AG146" s="121">
        <v>6856.93</v>
      </c>
      <c r="AH146" s="121">
        <v>0</v>
      </c>
      <c r="AI146" s="121">
        <v>0</v>
      </c>
      <c r="AJ146" s="121">
        <v>70952.199999999735</v>
      </c>
      <c r="AK146" s="121">
        <v>0</v>
      </c>
      <c r="AL146" s="121">
        <v>0</v>
      </c>
      <c r="AM146" s="121">
        <v>0</v>
      </c>
      <c r="AN146" s="121">
        <v>10757.82</v>
      </c>
      <c r="AO146" s="121">
        <v>0</v>
      </c>
      <c r="AP146" s="121">
        <v>0</v>
      </c>
      <c r="AQ146" s="121">
        <v>0</v>
      </c>
      <c r="AR146" s="121">
        <v>0</v>
      </c>
      <c r="AS146" s="121">
        <v>0</v>
      </c>
      <c r="AT146" s="121">
        <v>0</v>
      </c>
      <c r="AU146" s="121">
        <v>32290</v>
      </c>
      <c r="AV146" s="121">
        <v>82480</v>
      </c>
      <c r="AW146" s="121">
        <v>1004906.69</v>
      </c>
      <c r="AX146" s="121">
        <v>0</v>
      </c>
      <c r="AY146" s="121">
        <v>476514.02</v>
      </c>
      <c r="AZ146" s="121">
        <v>110267.68</v>
      </c>
      <c r="BA146" s="121">
        <v>147603.49</v>
      </c>
      <c r="BB146" s="121">
        <v>0</v>
      </c>
      <c r="BC146" s="121">
        <v>153910.17000000001</v>
      </c>
      <c r="BD146" s="121">
        <v>3657.11</v>
      </c>
      <c r="BE146" s="121">
        <v>11196.02</v>
      </c>
      <c r="BF146" s="121">
        <v>0</v>
      </c>
      <c r="BG146" s="121">
        <v>0</v>
      </c>
      <c r="BH146" s="121">
        <v>9918.99</v>
      </c>
      <c r="BI146" s="121">
        <v>35592</v>
      </c>
      <c r="BJ146" s="121">
        <v>4477.41</v>
      </c>
      <c r="BK146" s="121">
        <v>7563.15</v>
      </c>
      <c r="BL146" s="121">
        <v>56684.959999999999</v>
      </c>
      <c r="BM146" s="121">
        <v>0</v>
      </c>
      <c r="BN146" s="121">
        <v>12628.21</v>
      </c>
      <c r="BO146" s="121">
        <v>135104.69</v>
      </c>
      <c r="BP146" s="121">
        <v>2200.81</v>
      </c>
      <c r="BQ146" s="121">
        <v>35152.17</v>
      </c>
      <c r="BR146" s="121">
        <v>26357.89</v>
      </c>
      <c r="BS146" s="121">
        <v>4895</v>
      </c>
      <c r="BT146" s="121">
        <v>6053.5</v>
      </c>
      <c r="BU146" s="121">
        <v>160760.48000000001</v>
      </c>
      <c r="BV146" s="121">
        <v>143254.09</v>
      </c>
      <c r="BW146" s="121">
        <v>21249</v>
      </c>
      <c r="BX146" s="121">
        <v>51548.93</v>
      </c>
      <c r="BY146" s="121">
        <v>0</v>
      </c>
      <c r="BZ146" s="121">
        <v>0</v>
      </c>
      <c r="CA146" s="121">
        <v>15993.44</v>
      </c>
      <c r="CB146" s="121">
        <v>0</v>
      </c>
      <c r="CC146" s="121">
        <v>0</v>
      </c>
      <c r="CD146" s="121">
        <v>8846.5</v>
      </c>
      <c r="CE146" s="121">
        <v>0</v>
      </c>
      <c r="CF146" s="121">
        <v>15993.44</v>
      </c>
      <c r="CG146" s="121">
        <v>0</v>
      </c>
      <c r="CH146" s="121">
        <v>0</v>
      </c>
      <c r="CI146" s="121">
        <v>8846.5</v>
      </c>
      <c r="CJ146" s="121">
        <v>7475</v>
      </c>
      <c r="CK146" s="121">
        <v>0</v>
      </c>
      <c r="CL146" s="121">
        <v>846987.67</v>
      </c>
      <c r="CM146" s="121"/>
      <c r="CN146" s="121">
        <v>0</v>
      </c>
      <c r="CO146" s="121">
        <v>0</v>
      </c>
      <c r="CP146" s="121">
        <v>0</v>
      </c>
      <c r="CQ146" s="121">
        <v>0</v>
      </c>
      <c r="CR146" s="118"/>
      <c r="CS146" s="33">
        <v>846987.67</v>
      </c>
      <c r="CT146" s="33">
        <v>0</v>
      </c>
      <c r="CU146" s="65">
        <v>862981.11</v>
      </c>
      <c r="CV146" s="65">
        <v>-15993.44</v>
      </c>
      <c r="CW146" s="65">
        <v>-15993.439999999944</v>
      </c>
      <c r="CX146" s="33">
        <v>-15993.44</v>
      </c>
      <c r="CY146" s="33">
        <v>846987.67</v>
      </c>
      <c r="CZ146" s="66">
        <v>0</v>
      </c>
      <c r="DA146" s="33">
        <v>0</v>
      </c>
      <c r="DB146" s="33">
        <v>3.0000000260770321E-2</v>
      </c>
      <c r="DC146" s="33">
        <v>0</v>
      </c>
      <c r="DD146" s="65">
        <v>-15993.44</v>
      </c>
      <c r="DF146" s="33">
        <v>5.6388671509921551E-11</v>
      </c>
      <c r="DI146" s="33">
        <v>846987.67</v>
      </c>
      <c r="DJ146" s="33">
        <v>0</v>
      </c>
      <c r="DK146" s="65">
        <v>862981.11</v>
      </c>
      <c r="DL146" s="65">
        <v>-15993.44</v>
      </c>
      <c r="DQ146" s="115">
        <v>3302184</v>
      </c>
      <c r="DS146" s="33">
        <v>0</v>
      </c>
      <c r="DT146" s="33">
        <v>2721396.94</v>
      </c>
      <c r="DU146" s="33">
        <v>2637489.9</v>
      </c>
      <c r="DV146" s="33">
        <v>83907.040000000037</v>
      </c>
      <c r="DW146" s="33">
        <v>24839.940000000002</v>
      </c>
      <c r="DX146" s="33">
        <v>16321.5</v>
      </c>
      <c r="DY146" s="33">
        <v>8518.4400000000023</v>
      </c>
    </row>
    <row r="147" spans="2:129" x14ac:dyDescent="0.35">
      <c r="B147" s="87">
        <v>2185</v>
      </c>
      <c r="C147" s="115">
        <v>3302185</v>
      </c>
      <c r="D147" s="116" t="s">
        <v>411</v>
      </c>
      <c r="E147" s="116" t="s">
        <v>412</v>
      </c>
      <c r="F147" s="117"/>
      <c r="G147" s="118"/>
      <c r="H147" s="115"/>
      <c r="I147" s="115"/>
      <c r="J147" s="115"/>
      <c r="K147" s="115"/>
      <c r="L147" s="115"/>
      <c r="M147" s="115"/>
      <c r="N147" s="115"/>
      <c r="O147" s="115"/>
      <c r="P147" s="115"/>
      <c r="Q147" s="115"/>
      <c r="R147" s="115"/>
      <c r="S147" s="119"/>
      <c r="T147" s="119"/>
      <c r="U147" s="119"/>
      <c r="V147" s="119"/>
      <c r="W147" s="119"/>
      <c r="X147" s="119"/>
      <c r="Y147" s="120">
        <v>223663.73</v>
      </c>
      <c r="Z147" s="120"/>
      <c r="AA147" s="120">
        <v>-18203.740000000002</v>
      </c>
      <c r="AB147" s="121">
        <v>2230375.25</v>
      </c>
      <c r="AC147" s="121">
        <v>0</v>
      </c>
      <c r="AD147" s="121">
        <v>86569.58</v>
      </c>
      <c r="AE147" s="121">
        <v>0</v>
      </c>
      <c r="AF147" s="121">
        <v>202212.75</v>
      </c>
      <c r="AG147" s="121">
        <v>2056.9299999999998</v>
      </c>
      <c r="AH147" s="121">
        <v>0</v>
      </c>
      <c r="AI147" s="121">
        <v>0</v>
      </c>
      <c r="AJ147" s="121">
        <v>737.87000000019032</v>
      </c>
      <c r="AK147" s="121">
        <v>0</v>
      </c>
      <c r="AL147" s="121">
        <v>0</v>
      </c>
      <c r="AM147" s="121">
        <v>0</v>
      </c>
      <c r="AN147" s="121">
        <v>4969.8900000000003</v>
      </c>
      <c r="AO147" s="121">
        <v>0</v>
      </c>
      <c r="AP147" s="121">
        <v>0</v>
      </c>
      <c r="AQ147" s="121">
        <v>0</v>
      </c>
      <c r="AR147" s="121">
        <v>0</v>
      </c>
      <c r="AS147" s="121">
        <v>0</v>
      </c>
      <c r="AT147" s="121">
        <v>0</v>
      </c>
      <c r="AU147" s="121">
        <v>28498.36</v>
      </c>
      <c r="AV147" s="121">
        <v>76350</v>
      </c>
      <c r="AW147" s="121">
        <v>1177817.1299999999</v>
      </c>
      <c r="AX147" s="121">
        <v>0</v>
      </c>
      <c r="AY147" s="121">
        <v>232761</v>
      </c>
      <c r="AZ147" s="121">
        <v>53996.99</v>
      </c>
      <c r="BA147" s="121">
        <v>138645.76000000001</v>
      </c>
      <c r="BB147" s="121">
        <v>0</v>
      </c>
      <c r="BC147" s="121">
        <v>34235.58</v>
      </c>
      <c r="BD147" s="121">
        <v>1096.46</v>
      </c>
      <c r="BE147" s="121">
        <v>6248</v>
      </c>
      <c r="BF147" s="121">
        <v>0</v>
      </c>
      <c r="BG147" s="121">
        <v>0</v>
      </c>
      <c r="BH147" s="121">
        <v>11891.5</v>
      </c>
      <c r="BI147" s="121">
        <v>3028.12</v>
      </c>
      <c r="BJ147" s="121">
        <v>56612.71</v>
      </c>
      <c r="BK147" s="121">
        <v>12498.49</v>
      </c>
      <c r="BL147" s="121">
        <v>62373.55</v>
      </c>
      <c r="BM147" s="121">
        <v>0</v>
      </c>
      <c r="BN147" s="121">
        <v>0</v>
      </c>
      <c r="BO147" s="121">
        <v>164183.98000000001</v>
      </c>
      <c r="BP147" s="121">
        <v>27067.52</v>
      </c>
      <c r="BQ147" s="121">
        <v>171.16</v>
      </c>
      <c r="BR147" s="121">
        <v>212901.42</v>
      </c>
      <c r="BS147" s="121">
        <v>10320</v>
      </c>
      <c r="BT147" s="121">
        <v>0</v>
      </c>
      <c r="BU147" s="121">
        <v>185061.66</v>
      </c>
      <c r="BV147" s="121">
        <v>284412.15999999997</v>
      </c>
      <c r="BW147" s="121">
        <v>0</v>
      </c>
      <c r="BX147" s="121">
        <v>84143.44</v>
      </c>
      <c r="BY147" s="121">
        <v>0</v>
      </c>
      <c r="BZ147" s="121">
        <v>0</v>
      </c>
      <c r="CA147" s="121">
        <v>0</v>
      </c>
      <c r="CB147" s="121">
        <v>0</v>
      </c>
      <c r="CC147" s="121">
        <v>0</v>
      </c>
      <c r="CD147" s="121">
        <v>9078.25</v>
      </c>
      <c r="CE147" s="121">
        <v>19071.13</v>
      </c>
      <c r="CF147" s="121">
        <v>0</v>
      </c>
      <c r="CG147" s="121">
        <v>0</v>
      </c>
      <c r="CH147" s="121">
        <v>0</v>
      </c>
      <c r="CI147" s="121">
        <v>0</v>
      </c>
      <c r="CJ147" s="121">
        <v>366</v>
      </c>
      <c r="CK147" s="121"/>
      <c r="CL147" s="121">
        <v>95967.73000000001</v>
      </c>
      <c r="CM147" s="121"/>
      <c r="CN147" s="121">
        <v>9579.64</v>
      </c>
      <c r="CO147" s="121">
        <v>0</v>
      </c>
      <c r="CP147" s="121">
        <v>0</v>
      </c>
      <c r="CQ147" s="121">
        <v>0</v>
      </c>
      <c r="CR147" s="118"/>
      <c r="CS147" s="33">
        <v>95967.73000000001</v>
      </c>
      <c r="CT147" s="33">
        <v>9579.64</v>
      </c>
      <c r="CU147" s="65">
        <v>95967.73</v>
      </c>
      <c r="CV147" s="65">
        <v>9579.64</v>
      </c>
      <c r="CW147" s="65">
        <v>0</v>
      </c>
      <c r="CX147" s="33">
        <v>0</v>
      </c>
      <c r="CY147" s="33">
        <v>105547.37</v>
      </c>
      <c r="CZ147" s="66">
        <v>19071.13</v>
      </c>
      <c r="DA147" s="33">
        <v>19071.13</v>
      </c>
      <c r="DB147" s="33">
        <v>2.9999999809660949E-2</v>
      </c>
      <c r="DC147" s="33">
        <v>0</v>
      </c>
      <c r="DF147" s="33">
        <v>1.4551915228366852E-11</v>
      </c>
      <c r="DI147" s="33">
        <v>95967.73000000001</v>
      </c>
      <c r="DJ147" s="33">
        <v>9579.64</v>
      </c>
      <c r="DK147" s="65">
        <v>95967.73</v>
      </c>
      <c r="DL147" s="65">
        <v>9579.64</v>
      </c>
      <c r="DQ147" s="115">
        <v>3302185</v>
      </c>
      <c r="DS147" s="33">
        <v>0</v>
      </c>
      <c r="DT147" s="33">
        <v>2631770.6300000004</v>
      </c>
      <c r="DU147" s="33">
        <v>2759466.6300000004</v>
      </c>
      <c r="DV147" s="33">
        <v>-127696</v>
      </c>
      <c r="DW147" s="33">
        <v>28149.38</v>
      </c>
      <c r="DX147" s="33">
        <v>366</v>
      </c>
      <c r="DY147" s="33">
        <v>27783.38</v>
      </c>
    </row>
    <row r="148" spans="2:129" x14ac:dyDescent="0.35">
      <c r="B148" s="87">
        <v>2191</v>
      </c>
      <c r="C148" s="115">
        <v>3302191</v>
      </c>
      <c r="D148" s="116" t="s">
        <v>413</v>
      </c>
      <c r="E148" s="116" t="s">
        <v>414</v>
      </c>
      <c r="F148" s="117"/>
      <c r="G148" s="118"/>
      <c r="H148" s="115"/>
      <c r="I148" s="115"/>
      <c r="J148" s="115"/>
      <c r="K148" s="115"/>
      <c r="L148" s="115"/>
      <c r="M148" s="115"/>
      <c r="N148" s="115"/>
      <c r="O148" s="115"/>
      <c r="P148" s="115"/>
      <c r="Q148" s="115"/>
      <c r="R148" s="115"/>
      <c r="S148" s="119"/>
      <c r="T148" s="119"/>
      <c r="U148" s="119"/>
      <c r="V148" s="119"/>
      <c r="W148" s="119"/>
      <c r="X148" s="119"/>
      <c r="Y148" s="120">
        <v>187001.26</v>
      </c>
      <c r="Z148" s="120"/>
      <c r="AA148" s="120">
        <v>-20513.45</v>
      </c>
      <c r="AB148" s="121">
        <v>1582731.69</v>
      </c>
      <c r="AC148" s="121">
        <v>0</v>
      </c>
      <c r="AD148" s="121">
        <v>55700</v>
      </c>
      <c r="AE148" s="121">
        <v>0</v>
      </c>
      <c r="AF148" s="121">
        <v>192376.5</v>
      </c>
      <c r="AG148" s="121">
        <v>3000</v>
      </c>
      <c r="AH148" s="121">
        <v>0</v>
      </c>
      <c r="AI148" s="121">
        <v>0</v>
      </c>
      <c r="AJ148" s="121">
        <v>3299.05</v>
      </c>
      <c r="AK148" s="121">
        <v>0</v>
      </c>
      <c r="AL148" s="121">
        <v>0</v>
      </c>
      <c r="AM148" s="121">
        <v>0</v>
      </c>
      <c r="AN148" s="121">
        <v>2632.9</v>
      </c>
      <c r="AO148" s="121">
        <v>0</v>
      </c>
      <c r="AP148" s="121">
        <v>0</v>
      </c>
      <c r="AQ148" s="121">
        <v>0</v>
      </c>
      <c r="AR148" s="121">
        <v>0</v>
      </c>
      <c r="AS148" s="121">
        <v>0</v>
      </c>
      <c r="AT148" s="121">
        <v>0</v>
      </c>
      <c r="AU148" s="121">
        <v>12951.62</v>
      </c>
      <c r="AV148" s="121">
        <v>35915</v>
      </c>
      <c r="AW148" s="121">
        <v>990640.72</v>
      </c>
      <c r="AX148" s="121">
        <v>0</v>
      </c>
      <c r="AY148" s="121">
        <v>59618.61</v>
      </c>
      <c r="AZ148" s="121">
        <v>65507.48</v>
      </c>
      <c r="BA148" s="121">
        <v>182114.22</v>
      </c>
      <c r="BB148" s="121">
        <v>0</v>
      </c>
      <c r="BC148" s="121">
        <v>35297.19</v>
      </c>
      <c r="BD148" s="121">
        <v>1574.14</v>
      </c>
      <c r="BE148" s="121">
        <v>0</v>
      </c>
      <c r="BF148" s="121">
        <v>0</v>
      </c>
      <c r="BG148" s="121">
        <v>0</v>
      </c>
      <c r="BH148" s="121">
        <v>0</v>
      </c>
      <c r="BI148" s="121">
        <v>0</v>
      </c>
      <c r="BJ148" s="121">
        <v>904.5</v>
      </c>
      <c r="BK148" s="121">
        <v>0</v>
      </c>
      <c r="BL148" s="121">
        <v>54901.93</v>
      </c>
      <c r="BM148" s="121">
        <v>0</v>
      </c>
      <c r="BN148" s="121">
        <v>0</v>
      </c>
      <c r="BO148" s="121">
        <v>10285.780000000079</v>
      </c>
      <c r="BP148" s="121">
        <v>0</v>
      </c>
      <c r="BQ148" s="121">
        <v>157.12</v>
      </c>
      <c r="BR148" s="121">
        <v>491011.24</v>
      </c>
      <c r="BS148" s="121">
        <v>4916.37</v>
      </c>
      <c r="BT148" s="121">
        <v>1315.2</v>
      </c>
      <c r="BU148" s="121">
        <v>0</v>
      </c>
      <c r="BV148" s="121">
        <v>2197</v>
      </c>
      <c r="BW148" s="121">
        <v>155</v>
      </c>
      <c r="BX148" s="121">
        <v>23991.14</v>
      </c>
      <c r="BY148" s="121">
        <v>0</v>
      </c>
      <c r="BZ148" s="121">
        <v>0</v>
      </c>
      <c r="CA148" s="121">
        <v>15551.25</v>
      </c>
      <c r="CB148" s="121">
        <v>0</v>
      </c>
      <c r="CC148" s="121">
        <v>0</v>
      </c>
      <c r="CD148" s="121">
        <v>6536.88</v>
      </c>
      <c r="CE148" s="121"/>
      <c r="CF148" s="121">
        <v>15551.25</v>
      </c>
      <c r="CG148" s="121">
        <v>0</v>
      </c>
      <c r="CH148" s="121">
        <v>0</v>
      </c>
      <c r="CI148" s="121">
        <v>0</v>
      </c>
      <c r="CJ148" s="121">
        <v>70.8</v>
      </c>
      <c r="CK148" s="121">
        <v>1503.8799999999992</v>
      </c>
      <c r="CL148" s="121">
        <v>135469.13000000012</v>
      </c>
      <c r="CM148" s="121"/>
      <c r="CN148" s="121">
        <v>0</v>
      </c>
      <c r="CO148" s="121">
        <v>0</v>
      </c>
      <c r="CP148" s="121">
        <v>0</v>
      </c>
      <c r="CQ148" s="121">
        <v>0</v>
      </c>
      <c r="CR148" s="118"/>
      <c r="CS148" s="33">
        <v>135469.13000000012</v>
      </c>
      <c r="CT148" s="33">
        <v>0</v>
      </c>
      <c r="CU148" s="65">
        <v>151020.38</v>
      </c>
      <c r="CV148" s="65">
        <v>-15551.25</v>
      </c>
      <c r="CW148" s="65">
        <v>-15551.249999999884</v>
      </c>
      <c r="CX148" s="33">
        <v>-15551.25</v>
      </c>
      <c r="CY148" s="33">
        <v>135469.13</v>
      </c>
      <c r="CZ148" s="66">
        <v>-1503.8799999999992</v>
      </c>
      <c r="DA148" s="33">
        <v>-1503.8799999999992</v>
      </c>
      <c r="DB148" s="33">
        <v>0</v>
      </c>
      <c r="DC148" s="33">
        <v>-3.9999999920837581E-2</v>
      </c>
      <c r="DD148" s="65">
        <v>-15551.25</v>
      </c>
      <c r="DF148" s="33">
        <v>1.1641532182693481E-10</v>
      </c>
      <c r="DI148" s="33">
        <v>135469.13000000012</v>
      </c>
      <c r="DJ148" s="33">
        <v>0</v>
      </c>
      <c r="DK148" s="65">
        <v>151020.38</v>
      </c>
      <c r="DL148" s="65">
        <v>-15551.25</v>
      </c>
      <c r="DQ148" s="115">
        <v>3302191</v>
      </c>
      <c r="DS148" s="33">
        <v>0</v>
      </c>
      <c r="DT148" s="33">
        <v>1888606.76</v>
      </c>
      <c r="DU148" s="33">
        <v>1940138.89</v>
      </c>
      <c r="DV148" s="33">
        <v>-51532.129999999888</v>
      </c>
      <c r="DW148" s="33">
        <v>22088.13</v>
      </c>
      <c r="DX148" s="33">
        <v>1574.6799999999992</v>
      </c>
      <c r="DY148" s="33">
        <v>20513.45</v>
      </c>
    </row>
    <row r="149" spans="2:129" x14ac:dyDescent="0.35">
      <c r="B149" s="87">
        <v>2227</v>
      </c>
      <c r="C149" s="115">
        <v>3302227</v>
      </c>
      <c r="D149" s="116" t="s">
        <v>415</v>
      </c>
      <c r="E149" s="116" t="s">
        <v>416</v>
      </c>
      <c r="F149" s="117"/>
      <c r="G149" s="118"/>
      <c r="H149" s="115"/>
      <c r="I149" s="115"/>
      <c r="J149" s="115"/>
      <c r="K149" s="115"/>
      <c r="L149" s="115"/>
      <c r="M149" s="115"/>
      <c r="N149" s="115"/>
      <c r="O149" s="115"/>
      <c r="P149" s="115"/>
      <c r="Q149" s="115"/>
      <c r="R149" s="115"/>
      <c r="S149" s="119"/>
      <c r="T149" s="119"/>
      <c r="U149" s="119"/>
      <c r="V149" s="119"/>
      <c r="W149" s="119"/>
      <c r="X149" s="119"/>
      <c r="Y149" s="120">
        <v>337587.46</v>
      </c>
      <c r="Z149" s="120"/>
      <c r="AA149" s="120">
        <v>5364.8</v>
      </c>
      <c r="AB149" s="121">
        <v>2418405.94</v>
      </c>
      <c r="AC149" s="121">
        <v>0</v>
      </c>
      <c r="AD149" s="121">
        <v>146942.32</v>
      </c>
      <c r="AE149" s="121">
        <v>0</v>
      </c>
      <c r="AF149" s="121">
        <v>313856</v>
      </c>
      <c r="AG149" s="121">
        <v>7180</v>
      </c>
      <c r="AH149" s="121">
        <v>0</v>
      </c>
      <c r="AI149" s="121">
        <v>0</v>
      </c>
      <c r="AJ149" s="121">
        <v>66426.740000000005</v>
      </c>
      <c r="AK149" s="121">
        <v>0</v>
      </c>
      <c r="AL149" s="121">
        <v>0</v>
      </c>
      <c r="AM149" s="121">
        <v>0</v>
      </c>
      <c r="AN149" s="121">
        <v>21687.759999999998</v>
      </c>
      <c r="AO149" s="121">
        <v>0</v>
      </c>
      <c r="AP149" s="121">
        <v>0</v>
      </c>
      <c r="AQ149" s="121">
        <v>0</v>
      </c>
      <c r="AR149" s="121">
        <v>0</v>
      </c>
      <c r="AS149" s="121">
        <v>0</v>
      </c>
      <c r="AT149" s="121">
        <v>0</v>
      </c>
      <c r="AU149" s="121">
        <v>22301.96</v>
      </c>
      <c r="AV149" s="121">
        <v>51507</v>
      </c>
      <c r="AW149" s="121">
        <v>1428819.4</v>
      </c>
      <c r="AX149" s="121">
        <v>0</v>
      </c>
      <c r="AY149" s="121">
        <v>600671.26</v>
      </c>
      <c r="AZ149" s="121">
        <v>42967.99</v>
      </c>
      <c r="BA149" s="121">
        <v>244385.36</v>
      </c>
      <c r="BB149" s="121">
        <v>0</v>
      </c>
      <c r="BC149" s="121">
        <v>67876.710000000006</v>
      </c>
      <c r="BD149" s="121">
        <v>1020.94</v>
      </c>
      <c r="BE149" s="121">
        <v>5637</v>
      </c>
      <c r="BF149" s="121">
        <v>0</v>
      </c>
      <c r="BG149" s="121">
        <v>0</v>
      </c>
      <c r="BH149" s="121">
        <v>77679.39</v>
      </c>
      <c r="BI149" s="121">
        <v>2200</v>
      </c>
      <c r="BJ149" s="121">
        <v>3430.7</v>
      </c>
      <c r="BK149" s="121">
        <v>7214.64</v>
      </c>
      <c r="BL149" s="121">
        <v>29375.4</v>
      </c>
      <c r="BM149" s="121">
        <v>0</v>
      </c>
      <c r="BN149" s="121">
        <v>5153.7</v>
      </c>
      <c r="BO149" s="121">
        <v>41431.989999999671</v>
      </c>
      <c r="BP149" s="121">
        <v>28357.040000000001</v>
      </c>
      <c r="BQ149" s="121">
        <v>540.9</v>
      </c>
      <c r="BR149" s="121">
        <v>60165.22</v>
      </c>
      <c r="BS149" s="121">
        <v>4895</v>
      </c>
      <c r="BT149" s="121">
        <v>6160</v>
      </c>
      <c r="BU149" s="121">
        <v>175961.48</v>
      </c>
      <c r="BV149" s="121">
        <v>140401.14000000001</v>
      </c>
      <c r="BW149" s="121">
        <v>750</v>
      </c>
      <c r="BX149" s="121">
        <v>147354.82</v>
      </c>
      <c r="BY149" s="121">
        <v>0</v>
      </c>
      <c r="BZ149" s="121">
        <v>0</v>
      </c>
      <c r="CA149" s="121">
        <v>0</v>
      </c>
      <c r="CB149" s="121">
        <v>0</v>
      </c>
      <c r="CC149" s="121">
        <v>0</v>
      </c>
      <c r="CD149" s="121">
        <v>8783.5</v>
      </c>
      <c r="CE149" s="121">
        <v>0</v>
      </c>
      <c r="CF149" s="121">
        <v>0</v>
      </c>
      <c r="CG149" s="121">
        <v>0</v>
      </c>
      <c r="CH149" s="121">
        <v>0</v>
      </c>
      <c r="CI149" s="121">
        <v>8783.5</v>
      </c>
      <c r="CJ149" s="121">
        <v>3937</v>
      </c>
      <c r="CK149" s="121">
        <v>0</v>
      </c>
      <c r="CL149" s="121">
        <v>263445.09999999969</v>
      </c>
      <c r="CM149" s="121"/>
      <c r="CN149" s="121">
        <v>1427.8000000000002</v>
      </c>
      <c r="CO149" s="121">
        <v>0</v>
      </c>
      <c r="CP149" s="121">
        <v>0</v>
      </c>
      <c r="CQ149" s="121">
        <v>0</v>
      </c>
      <c r="CR149" s="118"/>
      <c r="CS149" s="33">
        <v>263445.09999999969</v>
      </c>
      <c r="CT149" s="33">
        <v>1427.8000000000002</v>
      </c>
      <c r="CU149" s="65">
        <v>263445.09999999998</v>
      </c>
      <c r="CV149" s="65">
        <v>1427.8</v>
      </c>
      <c r="CW149" s="65">
        <v>0</v>
      </c>
      <c r="CX149" s="33">
        <v>0</v>
      </c>
      <c r="CY149" s="33">
        <v>264872.89999999997</v>
      </c>
      <c r="CZ149" s="66">
        <v>0</v>
      </c>
      <c r="DA149" s="33">
        <v>0</v>
      </c>
      <c r="DB149" s="33">
        <v>0</v>
      </c>
      <c r="DC149" s="33">
        <v>-4.0000000328291208E-2</v>
      </c>
      <c r="DF149" s="33">
        <v>-3.0263436201494187E-10</v>
      </c>
      <c r="DI149" s="33">
        <v>263445.09999999969</v>
      </c>
      <c r="DJ149" s="33">
        <v>1427.8000000000002</v>
      </c>
      <c r="DK149" s="65">
        <v>263445.09999999998</v>
      </c>
      <c r="DL149" s="65">
        <v>1427.8</v>
      </c>
      <c r="DQ149" s="115">
        <v>3302227</v>
      </c>
      <c r="DS149" s="33">
        <v>0</v>
      </c>
      <c r="DT149" s="33">
        <v>3048307.7199999997</v>
      </c>
      <c r="DU149" s="33">
        <v>3122450.08</v>
      </c>
      <c r="DV149" s="33">
        <v>-74142.360000000335</v>
      </c>
      <c r="DW149" s="33">
        <v>8783.5</v>
      </c>
      <c r="DX149" s="33">
        <v>12720.5</v>
      </c>
      <c r="DY149" s="33">
        <v>-3937</v>
      </c>
    </row>
    <row r="150" spans="2:129" x14ac:dyDescent="0.35">
      <c r="B150" s="87">
        <v>2236</v>
      </c>
      <c r="C150" s="115">
        <v>3302236</v>
      </c>
      <c r="D150" s="116" t="s">
        <v>417</v>
      </c>
      <c r="E150" s="116" t="s">
        <v>418</v>
      </c>
      <c r="F150" s="117"/>
      <c r="G150" s="118"/>
      <c r="H150" s="115"/>
      <c r="I150" s="115"/>
      <c r="J150" s="115"/>
      <c r="K150" s="115"/>
      <c r="L150" s="115"/>
      <c r="M150" s="115"/>
      <c r="N150" s="115"/>
      <c r="O150" s="115"/>
      <c r="P150" s="115"/>
      <c r="Q150" s="115"/>
      <c r="R150" s="115"/>
      <c r="S150" s="119"/>
      <c r="T150" s="119"/>
      <c r="U150" s="119"/>
      <c r="V150" s="119"/>
      <c r="W150" s="119"/>
      <c r="X150" s="119"/>
      <c r="Y150" s="120">
        <v>221151.85</v>
      </c>
      <c r="Z150" s="120"/>
      <c r="AA150" s="120">
        <v>8449.7000000000007</v>
      </c>
      <c r="AB150" s="121">
        <v>1266148.1499999999</v>
      </c>
      <c r="AC150" s="121">
        <v>0</v>
      </c>
      <c r="AD150" s="121">
        <v>41495</v>
      </c>
      <c r="AE150" s="121">
        <v>0</v>
      </c>
      <c r="AF150" s="121">
        <v>176011</v>
      </c>
      <c r="AG150" s="121">
        <v>1200</v>
      </c>
      <c r="AH150" s="121">
        <v>0</v>
      </c>
      <c r="AI150" s="121">
        <v>0</v>
      </c>
      <c r="AJ150" s="121">
        <v>5218.38</v>
      </c>
      <c r="AK150" s="121">
        <v>13284.58</v>
      </c>
      <c r="AL150" s="121">
        <v>0</v>
      </c>
      <c r="AM150" s="121">
        <v>0</v>
      </c>
      <c r="AN150" s="121">
        <v>16382.4</v>
      </c>
      <c r="AO150" s="121">
        <v>0</v>
      </c>
      <c r="AP150" s="121">
        <v>0</v>
      </c>
      <c r="AQ150" s="121">
        <v>0</v>
      </c>
      <c r="AR150" s="121">
        <v>0</v>
      </c>
      <c r="AS150" s="121">
        <v>0</v>
      </c>
      <c r="AT150" s="121">
        <v>0</v>
      </c>
      <c r="AU150" s="121">
        <v>30174.16</v>
      </c>
      <c r="AV150" s="121">
        <v>18213</v>
      </c>
      <c r="AW150" s="121">
        <v>793837.18</v>
      </c>
      <c r="AX150" s="121">
        <v>17374.919999999998</v>
      </c>
      <c r="AY150" s="121">
        <v>243369.05</v>
      </c>
      <c r="AZ150" s="121">
        <v>70044.12</v>
      </c>
      <c r="BA150" s="121">
        <v>82032.27</v>
      </c>
      <c r="BB150" s="121">
        <v>0</v>
      </c>
      <c r="BC150" s="121">
        <v>37318.49</v>
      </c>
      <c r="BD150" s="121">
        <v>327.14999999999998</v>
      </c>
      <c r="BE150" s="121">
        <v>1565</v>
      </c>
      <c r="BF150" s="121">
        <v>0</v>
      </c>
      <c r="BG150" s="121">
        <v>0</v>
      </c>
      <c r="BH150" s="121">
        <v>23843.7</v>
      </c>
      <c r="BI150" s="121">
        <v>2311.16</v>
      </c>
      <c r="BJ150" s="121">
        <v>1589.08</v>
      </c>
      <c r="BK150" s="121">
        <v>12071.27</v>
      </c>
      <c r="BL150" s="121">
        <v>43417.919999999998</v>
      </c>
      <c r="BM150" s="121">
        <v>15560.29</v>
      </c>
      <c r="BN150" s="121">
        <v>3967.74</v>
      </c>
      <c r="BO150" s="121">
        <v>65720.539999999804</v>
      </c>
      <c r="BP150" s="121">
        <v>0</v>
      </c>
      <c r="BQ150" s="121">
        <v>0</v>
      </c>
      <c r="BR150" s="121">
        <v>19705.259999999998</v>
      </c>
      <c r="BS150" s="121">
        <v>4895</v>
      </c>
      <c r="BT150" s="121">
        <v>0</v>
      </c>
      <c r="BU150" s="121">
        <v>85326.54</v>
      </c>
      <c r="BV150" s="121">
        <v>16016.02</v>
      </c>
      <c r="BW150" s="121">
        <v>18625.18</v>
      </c>
      <c r="BX150" s="121">
        <v>71264.960000000006</v>
      </c>
      <c r="BY150" s="121">
        <v>0</v>
      </c>
      <c r="BZ150" s="121">
        <v>0</v>
      </c>
      <c r="CA150" s="121">
        <v>0</v>
      </c>
      <c r="CB150" s="121">
        <v>0</v>
      </c>
      <c r="CC150" s="121">
        <v>0</v>
      </c>
      <c r="CD150" s="121">
        <v>6463.75</v>
      </c>
      <c r="CE150" s="121">
        <v>14453.319999999998</v>
      </c>
      <c r="CF150" s="121">
        <v>0</v>
      </c>
      <c r="CG150" s="121">
        <v>0</v>
      </c>
      <c r="CH150" s="121">
        <v>0</v>
      </c>
      <c r="CI150" s="121">
        <v>0</v>
      </c>
      <c r="CJ150" s="121">
        <v>9552.2199999999993</v>
      </c>
      <c r="CK150" s="121"/>
      <c r="CL150" s="121">
        <v>159095.68000000008</v>
      </c>
      <c r="CM150" s="121"/>
      <c r="CN150" s="121">
        <v>19814.550000000003</v>
      </c>
      <c r="CO150" s="121">
        <v>0</v>
      </c>
      <c r="CP150" s="121">
        <v>0</v>
      </c>
      <c r="CQ150" s="121">
        <v>0</v>
      </c>
      <c r="CR150" s="118"/>
      <c r="CS150" s="33">
        <v>159095.68000000008</v>
      </c>
      <c r="CT150" s="33">
        <v>19814.550000000003</v>
      </c>
      <c r="CU150" s="65">
        <v>159095.67999999999</v>
      </c>
      <c r="CV150" s="65">
        <v>19814.55</v>
      </c>
      <c r="CW150" s="65">
        <v>0</v>
      </c>
      <c r="CX150" s="33">
        <v>0</v>
      </c>
      <c r="CY150" s="33">
        <v>178910.22999999998</v>
      </c>
      <c r="CZ150" s="66">
        <v>14453.319999999998</v>
      </c>
      <c r="DA150" s="33">
        <v>14453.319999999998</v>
      </c>
      <c r="DB150" s="33">
        <v>0</v>
      </c>
      <c r="DC150" s="33">
        <v>-5.0000000192085281E-2</v>
      </c>
      <c r="DF150" s="33">
        <v>1.0550138540565968E-10</v>
      </c>
      <c r="DI150" s="33">
        <v>159095.68000000008</v>
      </c>
      <c r="DJ150" s="33">
        <v>19814.550000000003</v>
      </c>
      <c r="DK150" s="65">
        <v>159095.67999999999</v>
      </c>
      <c r="DL150" s="65">
        <v>19814.55</v>
      </c>
      <c r="DQ150" s="115">
        <v>3302236</v>
      </c>
      <c r="DS150" s="33">
        <v>0</v>
      </c>
      <c r="DT150" s="33">
        <v>1568126.6699999997</v>
      </c>
      <c r="DU150" s="33">
        <v>1630182.8399999996</v>
      </c>
      <c r="DV150" s="33">
        <v>-62056.169999999925</v>
      </c>
      <c r="DW150" s="33">
        <v>20917.07</v>
      </c>
      <c r="DX150" s="33">
        <v>9552.2199999999993</v>
      </c>
      <c r="DY150" s="33">
        <v>11364.85</v>
      </c>
    </row>
    <row r="151" spans="2:129" x14ac:dyDescent="0.35">
      <c r="B151" s="87">
        <v>2238</v>
      </c>
      <c r="C151" s="115">
        <v>3302238</v>
      </c>
      <c r="D151" s="116" t="s">
        <v>419</v>
      </c>
      <c r="E151" s="116" t="s">
        <v>420</v>
      </c>
      <c r="F151" s="117"/>
      <c r="G151" s="118"/>
      <c r="H151" s="115"/>
      <c r="I151" s="115"/>
      <c r="J151" s="115"/>
      <c r="K151" s="115"/>
      <c r="L151" s="115"/>
      <c r="M151" s="115"/>
      <c r="N151" s="115"/>
      <c r="O151" s="115"/>
      <c r="P151" s="115"/>
      <c r="Q151" s="115"/>
      <c r="R151" s="115"/>
      <c r="S151" s="119"/>
      <c r="T151" s="119"/>
      <c r="U151" s="119"/>
      <c r="V151" s="119"/>
      <c r="W151" s="119"/>
      <c r="X151" s="119"/>
      <c r="Y151" s="120">
        <v>227512.86</v>
      </c>
      <c r="Z151" s="120"/>
      <c r="AA151" s="120">
        <v>16966.82</v>
      </c>
      <c r="AB151" s="121">
        <v>1036833.96</v>
      </c>
      <c r="AC151" s="121">
        <v>0</v>
      </c>
      <c r="AD151" s="121">
        <v>11025</v>
      </c>
      <c r="AE151" s="121">
        <v>0</v>
      </c>
      <c r="AF151" s="121">
        <v>104645.5</v>
      </c>
      <c r="AG151" s="121">
        <v>0</v>
      </c>
      <c r="AH151" s="121">
        <v>0</v>
      </c>
      <c r="AI151" s="121">
        <v>0</v>
      </c>
      <c r="AJ151" s="121">
        <v>66657.41</v>
      </c>
      <c r="AK151" s="121">
        <v>11.49</v>
      </c>
      <c r="AL151" s="121">
        <v>0</v>
      </c>
      <c r="AM151" s="121">
        <v>0</v>
      </c>
      <c r="AN151" s="121">
        <v>3650.24</v>
      </c>
      <c r="AO151" s="121">
        <v>0</v>
      </c>
      <c r="AP151" s="121">
        <v>0</v>
      </c>
      <c r="AQ151" s="121">
        <v>0</v>
      </c>
      <c r="AR151" s="121">
        <v>0</v>
      </c>
      <c r="AS151" s="121">
        <v>0</v>
      </c>
      <c r="AT151" s="121">
        <v>0</v>
      </c>
      <c r="AU151" s="121">
        <v>15660.12</v>
      </c>
      <c r="AV151" s="121">
        <v>59745</v>
      </c>
      <c r="AW151" s="121">
        <v>622566.99</v>
      </c>
      <c r="AX151" s="121">
        <v>20722.73</v>
      </c>
      <c r="AY151" s="121">
        <v>197919.85</v>
      </c>
      <c r="AZ151" s="121">
        <v>45992.17</v>
      </c>
      <c r="BA151" s="121">
        <v>74985.789999999994</v>
      </c>
      <c r="BB151" s="121">
        <v>15515.42</v>
      </c>
      <c r="BC151" s="121">
        <v>34945.86</v>
      </c>
      <c r="BD151" s="121">
        <v>990</v>
      </c>
      <c r="BE151" s="121">
        <v>1975</v>
      </c>
      <c r="BF151" s="121">
        <v>0</v>
      </c>
      <c r="BG151" s="121">
        <v>0</v>
      </c>
      <c r="BH151" s="121">
        <v>13692.45</v>
      </c>
      <c r="BI151" s="121">
        <v>14.98</v>
      </c>
      <c r="BJ151" s="121">
        <v>2416.9</v>
      </c>
      <c r="BK151" s="121">
        <v>4568.67</v>
      </c>
      <c r="BL151" s="121">
        <v>49015.87</v>
      </c>
      <c r="BM151" s="121">
        <v>13255.07</v>
      </c>
      <c r="BN151" s="121">
        <v>331.35</v>
      </c>
      <c r="BO151" s="121">
        <v>31636.839999999644</v>
      </c>
      <c r="BP151" s="121">
        <v>18342.759999999998</v>
      </c>
      <c r="BQ151" s="121">
        <v>0</v>
      </c>
      <c r="BR151" s="121">
        <v>13735.66</v>
      </c>
      <c r="BS151" s="121">
        <v>4895</v>
      </c>
      <c r="BT151" s="121">
        <v>0</v>
      </c>
      <c r="BU151" s="121">
        <v>35371.74</v>
      </c>
      <c r="BV151" s="121">
        <v>85211.31</v>
      </c>
      <c r="BW151" s="121">
        <v>19516.28</v>
      </c>
      <c r="BX151" s="121">
        <v>142351.10999999999</v>
      </c>
      <c r="BY151" s="121">
        <v>0</v>
      </c>
      <c r="BZ151" s="121">
        <v>0</v>
      </c>
      <c r="CA151" s="121">
        <v>0</v>
      </c>
      <c r="CB151" s="121">
        <v>0</v>
      </c>
      <c r="CC151" s="121">
        <v>0</v>
      </c>
      <c r="CD151" s="121">
        <v>6002.5</v>
      </c>
      <c r="CE151" s="121">
        <v>13522.54</v>
      </c>
      <c r="CF151" s="121">
        <v>0</v>
      </c>
      <c r="CG151" s="121">
        <v>0</v>
      </c>
      <c r="CH151" s="121">
        <v>0</v>
      </c>
      <c r="CI151" s="121">
        <v>0</v>
      </c>
      <c r="CJ151" s="121">
        <v>8032.71</v>
      </c>
      <c r="CK151" s="121"/>
      <c r="CL151" s="121">
        <v>75771.780000000144</v>
      </c>
      <c r="CM151" s="121"/>
      <c r="CN151" s="121">
        <v>28459.15</v>
      </c>
      <c r="CO151" s="121">
        <v>0</v>
      </c>
      <c r="CP151" s="121">
        <v>0</v>
      </c>
      <c r="CQ151" s="121">
        <v>0</v>
      </c>
      <c r="CR151" s="118"/>
      <c r="CS151" s="33">
        <v>75771.780000000144</v>
      </c>
      <c r="CT151" s="33">
        <v>28459.15</v>
      </c>
      <c r="CU151" s="65">
        <v>75771.78</v>
      </c>
      <c r="CV151" s="65">
        <v>28459.15</v>
      </c>
      <c r="CW151" s="65">
        <v>1.4551915228366852E-10</v>
      </c>
      <c r="CX151" s="33">
        <v>0</v>
      </c>
      <c r="CY151" s="33">
        <v>104230.93</v>
      </c>
      <c r="CZ151" s="66">
        <v>13522.54</v>
      </c>
      <c r="DA151" s="33">
        <v>13522.54</v>
      </c>
      <c r="DB151" s="33">
        <v>0</v>
      </c>
      <c r="DC151" s="33">
        <v>-4.0000000357395038E-2</v>
      </c>
      <c r="DF151" s="33">
        <v>1.3824319466948509E-10</v>
      </c>
      <c r="DI151" s="33">
        <v>75771.780000000144</v>
      </c>
      <c r="DJ151" s="33">
        <v>28459.15</v>
      </c>
      <c r="DK151" s="65">
        <v>75771.78</v>
      </c>
      <c r="DL151" s="65">
        <v>28459.15</v>
      </c>
      <c r="DQ151" s="115">
        <v>3302238</v>
      </c>
      <c r="DS151" s="33">
        <v>0</v>
      </c>
      <c r="DT151" s="33">
        <v>1298228.72</v>
      </c>
      <c r="DU151" s="33">
        <v>1449969.7999999998</v>
      </c>
      <c r="DV151" s="33">
        <v>-151741.07999999984</v>
      </c>
      <c r="DW151" s="33">
        <v>19525.04</v>
      </c>
      <c r="DX151" s="33">
        <v>8032.71</v>
      </c>
      <c r="DY151" s="33">
        <v>11492.330000000002</v>
      </c>
    </row>
    <row r="152" spans="2:129" x14ac:dyDescent="0.35">
      <c r="B152" s="87">
        <v>2278</v>
      </c>
      <c r="C152" s="115">
        <v>3302278</v>
      </c>
      <c r="D152" s="116" t="s">
        <v>421</v>
      </c>
      <c r="E152" s="116" t="s">
        <v>422</v>
      </c>
      <c r="F152" s="117"/>
      <c r="G152" s="118"/>
      <c r="H152" s="115"/>
      <c r="I152" s="115"/>
      <c r="J152" s="115"/>
      <c r="K152" s="115"/>
      <c r="L152" s="115"/>
      <c r="M152" s="115"/>
      <c r="N152" s="115"/>
      <c r="O152" s="115"/>
      <c r="P152" s="115"/>
      <c r="Q152" s="115"/>
      <c r="R152" s="115"/>
      <c r="S152" s="119"/>
      <c r="T152" s="119"/>
      <c r="U152" s="119"/>
      <c r="V152" s="119"/>
      <c r="W152" s="119"/>
      <c r="X152" s="119"/>
      <c r="Y152" s="120">
        <v>348021.13</v>
      </c>
      <c r="Z152" s="120"/>
      <c r="AA152" s="120">
        <v>-25230</v>
      </c>
      <c r="AB152" s="121">
        <v>2178992.52</v>
      </c>
      <c r="AC152" s="121">
        <v>0</v>
      </c>
      <c r="AD152" s="121">
        <v>185645.9</v>
      </c>
      <c r="AE152" s="121">
        <v>0</v>
      </c>
      <c r="AF152" s="121">
        <v>320101</v>
      </c>
      <c r="AG152" s="121">
        <v>0</v>
      </c>
      <c r="AH152" s="121">
        <v>0</v>
      </c>
      <c r="AI152" s="121">
        <v>0</v>
      </c>
      <c r="AJ152" s="121">
        <v>0</v>
      </c>
      <c r="AK152" s="121">
        <v>0</v>
      </c>
      <c r="AL152" s="121">
        <v>0</v>
      </c>
      <c r="AM152" s="121">
        <v>0</v>
      </c>
      <c r="AN152" s="121">
        <v>12947.07</v>
      </c>
      <c r="AO152" s="121">
        <v>0</v>
      </c>
      <c r="AP152" s="121">
        <v>0</v>
      </c>
      <c r="AQ152" s="121">
        <v>0</v>
      </c>
      <c r="AR152" s="121">
        <v>0</v>
      </c>
      <c r="AS152" s="121">
        <v>0</v>
      </c>
      <c r="AT152" s="121">
        <v>0</v>
      </c>
      <c r="AU152" s="121">
        <v>21711.37</v>
      </c>
      <c r="AV152" s="121">
        <v>53552</v>
      </c>
      <c r="AW152" s="121">
        <v>1861959.8599999999</v>
      </c>
      <c r="AX152" s="121">
        <v>0</v>
      </c>
      <c r="AY152" s="121">
        <v>0</v>
      </c>
      <c r="AZ152" s="121">
        <v>52693.17</v>
      </c>
      <c r="BA152" s="121">
        <v>198509.41</v>
      </c>
      <c r="BB152" s="121">
        <v>0</v>
      </c>
      <c r="BC152" s="121">
        <v>52300.49</v>
      </c>
      <c r="BD152" s="121">
        <v>2069.25</v>
      </c>
      <c r="BE152" s="121">
        <v>0</v>
      </c>
      <c r="BF152" s="121">
        <v>0</v>
      </c>
      <c r="BG152" s="121">
        <v>0</v>
      </c>
      <c r="BH152" s="121">
        <v>29375.23</v>
      </c>
      <c r="BI152" s="121">
        <v>0</v>
      </c>
      <c r="BJ152" s="121">
        <v>4937.3100000000004</v>
      </c>
      <c r="BK152" s="121">
        <v>0</v>
      </c>
      <c r="BL152" s="121">
        <v>94832.4</v>
      </c>
      <c r="BM152" s="121">
        <v>0</v>
      </c>
      <c r="BN152" s="121">
        <v>8301.14</v>
      </c>
      <c r="BO152" s="121">
        <v>0</v>
      </c>
      <c r="BP152" s="121">
        <v>11.33</v>
      </c>
      <c r="BQ152" s="121">
        <v>468.78</v>
      </c>
      <c r="BR152" s="121">
        <v>60128.09</v>
      </c>
      <c r="BS152" s="121">
        <v>9020</v>
      </c>
      <c r="BT152" s="121">
        <v>5630</v>
      </c>
      <c r="BU152" s="121">
        <v>170991.29</v>
      </c>
      <c r="BV152" s="121">
        <v>36576.36</v>
      </c>
      <c r="BW152" s="121">
        <v>1620</v>
      </c>
      <c r="BX152" s="121">
        <v>147364.31</v>
      </c>
      <c r="BY152" s="121">
        <v>0</v>
      </c>
      <c r="BZ152" s="121">
        <v>0</v>
      </c>
      <c r="CA152" s="121">
        <v>30967.41</v>
      </c>
      <c r="CB152" s="121">
        <v>0</v>
      </c>
      <c r="CC152" s="121">
        <v>0</v>
      </c>
      <c r="CD152" s="121">
        <v>8511.25</v>
      </c>
      <c r="CE152" s="121">
        <v>17803.34</v>
      </c>
      <c r="CF152" s="121">
        <v>30967.41</v>
      </c>
      <c r="CG152" s="121">
        <v>0</v>
      </c>
      <c r="CH152" s="121">
        <v>0</v>
      </c>
      <c r="CI152" s="121">
        <v>0</v>
      </c>
      <c r="CJ152" s="121">
        <v>32052</v>
      </c>
      <c r="CK152" s="121"/>
      <c r="CL152" s="121">
        <v>353215.1599999998</v>
      </c>
      <c r="CM152" s="121"/>
      <c r="CN152" s="121">
        <v>0</v>
      </c>
      <c r="CO152" s="121">
        <v>0</v>
      </c>
      <c r="CP152" s="121">
        <v>0</v>
      </c>
      <c r="CQ152" s="121">
        <v>0</v>
      </c>
      <c r="CR152" s="118"/>
      <c r="CS152" s="33">
        <v>353215.1599999998</v>
      </c>
      <c r="CT152" s="33">
        <v>0</v>
      </c>
      <c r="CU152" s="65">
        <v>384182.57</v>
      </c>
      <c r="CV152" s="65">
        <v>-30967.41</v>
      </c>
      <c r="CW152" s="65">
        <v>-30967.410000000207</v>
      </c>
      <c r="CX152" s="33">
        <v>-30967.41</v>
      </c>
      <c r="CY152" s="33">
        <v>353215.16000000003</v>
      </c>
      <c r="CZ152" s="66">
        <v>17803.34</v>
      </c>
      <c r="DA152" s="33">
        <v>17803.34</v>
      </c>
      <c r="DB152" s="33">
        <v>0</v>
      </c>
      <c r="DC152" s="33">
        <v>-602755.96999999974</v>
      </c>
      <c r="DD152" s="65">
        <v>-30967.41</v>
      </c>
      <c r="DF152" s="33">
        <v>-2.0736479200422764E-10</v>
      </c>
      <c r="DI152" s="33">
        <v>353215.1599999998</v>
      </c>
      <c r="DJ152" s="33">
        <v>0</v>
      </c>
      <c r="DK152" s="65">
        <v>384182.57</v>
      </c>
      <c r="DL152" s="65">
        <v>-30967.41</v>
      </c>
      <c r="DQ152" s="115">
        <v>3302278</v>
      </c>
      <c r="DS152" s="33">
        <v>0</v>
      </c>
      <c r="DT152" s="33">
        <v>2772949.86</v>
      </c>
      <c r="DU152" s="33">
        <v>2767755.83</v>
      </c>
      <c r="DV152" s="33">
        <v>5194.0299999997951</v>
      </c>
      <c r="DW152" s="33">
        <v>57282</v>
      </c>
      <c r="DX152" s="33">
        <v>32052</v>
      </c>
      <c r="DY152" s="33">
        <v>25230</v>
      </c>
    </row>
    <row r="153" spans="2:129" x14ac:dyDescent="0.35">
      <c r="B153" s="87">
        <v>2284</v>
      </c>
      <c r="C153" s="115">
        <v>3302284</v>
      </c>
      <c r="D153" s="116" t="s">
        <v>423</v>
      </c>
      <c r="E153" s="116" t="s">
        <v>424</v>
      </c>
      <c r="F153" s="117"/>
      <c r="G153" s="118"/>
      <c r="H153" s="115"/>
      <c r="I153" s="115"/>
      <c r="J153" s="115"/>
      <c r="K153" s="115"/>
      <c r="L153" s="115"/>
      <c r="M153" s="115"/>
      <c r="N153" s="115"/>
      <c r="O153" s="115"/>
      <c r="P153" s="115"/>
      <c r="Q153" s="115"/>
      <c r="R153" s="115"/>
      <c r="S153" s="119"/>
      <c r="T153" s="119"/>
      <c r="U153" s="119"/>
      <c r="V153" s="119"/>
      <c r="W153" s="119"/>
      <c r="X153" s="119"/>
      <c r="Y153" s="120"/>
      <c r="Z153" s="120">
        <v>-23271.53</v>
      </c>
      <c r="AA153" s="120">
        <v>-7912.95</v>
      </c>
      <c r="AB153" s="121">
        <v>1228377.8899999999</v>
      </c>
      <c r="AC153" s="121">
        <v>0</v>
      </c>
      <c r="AD153" s="121">
        <v>13650</v>
      </c>
      <c r="AE153" s="121">
        <v>0</v>
      </c>
      <c r="AF153" s="121">
        <v>151321.5</v>
      </c>
      <c r="AG153" s="121">
        <v>0</v>
      </c>
      <c r="AH153" s="121">
        <v>0</v>
      </c>
      <c r="AI153" s="121">
        <v>0</v>
      </c>
      <c r="AJ153" s="121">
        <v>20487.77</v>
      </c>
      <c r="AK153" s="121">
        <v>0</v>
      </c>
      <c r="AL153" s="121">
        <v>0</v>
      </c>
      <c r="AM153" s="121">
        <v>0</v>
      </c>
      <c r="AN153" s="121">
        <v>0</v>
      </c>
      <c r="AO153" s="121">
        <v>4092.08</v>
      </c>
      <c r="AP153" s="121">
        <v>0</v>
      </c>
      <c r="AQ153" s="121">
        <v>0</v>
      </c>
      <c r="AR153" s="121">
        <v>0</v>
      </c>
      <c r="AS153" s="121">
        <v>0</v>
      </c>
      <c r="AT153" s="121">
        <v>0</v>
      </c>
      <c r="AU153" s="121">
        <v>14037.38</v>
      </c>
      <c r="AV153" s="121">
        <v>35663</v>
      </c>
      <c r="AW153" s="121">
        <v>435293.8</v>
      </c>
      <c r="AX153" s="121">
        <v>3585.43</v>
      </c>
      <c r="AY153" s="121">
        <v>229175.02</v>
      </c>
      <c r="AZ153" s="121">
        <v>41422.839999999997</v>
      </c>
      <c r="BA153" s="121">
        <v>86762.37</v>
      </c>
      <c r="BB153" s="121">
        <v>0</v>
      </c>
      <c r="BC153" s="121">
        <v>27767.4</v>
      </c>
      <c r="BD153" s="121">
        <v>98.24</v>
      </c>
      <c r="BE153" s="121">
        <v>0</v>
      </c>
      <c r="BF153" s="121">
        <v>0</v>
      </c>
      <c r="BG153" s="121">
        <v>0</v>
      </c>
      <c r="BH153" s="121">
        <v>29112.69</v>
      </c>
      <c r="BI153" s="121">
        <v>1407.88</v>
      </c>
      <c r="BJ153" s="121">
        <v>24859.11</v>
      </c>
      <c r="BK153" s="121">
        <v>2240.75</v>
      </c>
      <c r="BL153" s="121">
        <v>47865.33</v>
      </c>
      <c r="BM153" s="121">
        <v>0</v>
      </c>
      <c r="BN153" s="121">
        <v>8025.54</v>
      </c>
      <c r="BO153" s="121">
        <v>41272.82</v>
      </c>
      <c r="BP153" s="121">
        <v>0</v>
      </c>
      <c r="BQ153" s="121">
        <v>575</v>
      </c>
      <c r="BR153" s="121">
        <v>51836.66</v>
      </c>
      <c r="BS153" s="121">
        <v>4935</v>
      </c>
      <c r="BT153" s="121">
        <v>5200.32</v>
      </c>
      <c r="BU153" s="121">
        <v>64520.54</v>
      </c>
      <c r="BV153" s="121">
        <v>130323.02</v>
      </c>
      <c r="BW153" s="121">
        <v>0</v>
      </c>
      <c r="BX153" s="121">
        <v>65205.07</v>
      </c>
      <c r="BY153" s="121">
        <v>0</v>
      </c>
      <c r="BZ153" s="121">
        <v>0</v>
      </c>
      <c r="CA153" s="121">
        <v>8160.95</v>
      </c>
      <c r="CB153" s="121">
        <v>0</v>
      </c>
      <c r="CC153" s="121">
        <v>0</v>
      </c>
      <c r="CD153" s="121">
        <v>6227.5</v>
      </c>
      <c r="CE153" s="121">
        <v>0</v>
      </c>
      <c r="CF153" s="121">
        <v>8160.95</v>
      </c>
      <c r="CG153" s="121">
        <v>0</v>
      </c>
      <c r="CH153" s="121">
        <v>0</v>
      </c>
      <c r="CI153" s="121">
        <v>6227.5</v>
      </c>
      <c r="CJ153" s="121">
        <v>248</v>
      </c>
      <c r="CK153" s="121">
        <v>0</v>
      </c>
      <c r="CL153" s="121">
        <v>134712.31000000008</v>
      </c>
      <c r="CM153" s="121"/>
      <c r="CN153" s="121">
        <v>0</v>
      </c>
      <c r="CO153" s="121">
        <v>0</v>
      </c>
      <c r="CP153" s="121">
        <v>0</v>
      </c>
      <c r="CQ153" s="121">
        <v>0</v>
      </c>
      <c r="CR153" s="118"/>
      <c r="CS153" s="33">
        <v>134712.31000000008</v>
      </c>
      <c r="CT153" s="33">
        <v>0</v>
      </c>
      <c r="CU153" s="65">
        <v>142873.26</v>
      </c>
      <c r="CV153" s="65">
        <v>-8160.95</v>
      </c>
      <c r="CW153" s="65">
        <v>-8160.9499999999243</v>
      </c>
      <c r="CX153" s="33">
        <v>-8160.95</v>
      </c>
      <c r="CY153" s="33">
        <v>134712.31</v>
      </c>
      <c r="CZ153" s="66">
        <v>0</v>
      </c>
      <c r="DA153" s="33">
        <v>0</v>
      </c>
      <c r="DB153" s="33">
        <v>102.47000000000116</v>
      </c>
      <c r="DC153" s="33">
        <v>0</v>
      </c>
      <c r="DD153" s="65">
        <v>-8160.95</v>
      </c>
      <c r="DF153" s="33">
        <v>7.5488060247153044E-11</v>
      </c>
      <c r="DI153" s="33">
        <v>134712.31000000008</v>
      </c>
      <c r="DJ153" s="33">
        <v>0</v>
      </c>
      <c r="DK153" s="65">
        <v>142873.26</v>
      </c>
      <c r="DL153" s="65">
        <v>-8160.95</v>
      </c>
      <c r="DQ153" s="115">
        <v>3302284</v>
      </c>
      <c r="DS153" s="33">
        <v>0</v>
      </c>
      <c r="DT153" s="33">
        <v>1467629.6199999999</v>
      </c>
      <c r="DU153" s="33">
        <v>1309645.7799999998</v>
      </c>
      <c r="DV153" s="33">
        <v>157983.84000000008</v>
      </c>
      <c r="DW153" s="33">
        <v>14388.45</v>
      </c>
      <c r="DX153" s="33">
        <v>6475.5</v>
      </c>
      <c r="DY153" s="33">
        <v>7912.9500000000007</v>
      </c>
    </row>
    <row r="154" spans="2:129" x14ac:dyDescent="0.35">
      <c r="B154" s="87">
        <v>2293</v>
      </c>
      <c r="C154" s="115">
        <v>3302293</v>
      </c>
      <c r="D154" s="116" t="s">
        <v>425</v>
      </c>
      <c r="E154" s="116" t="s">
        <v>426</v>
      </c>
      <c r="F154" s="117"/>
      <c r="G154" s="118"/>
      <c r="H154" s="115"/>
      <c r="I154" s="115"/>
      <c r="J154" s="115"/>
      <c r="K154" s="115"/>
      <c r="L154" s="115"/>
      <c r="M154" s="115"/>
      <c r="N154" s="115"/>
      <c r="O154" s="115"/>
      <c r="P154" s="115"/>
      <c r="Q154" s="115"/>
      <c r="R154" s="115"/>
      <c r="S154" s="119"/>
      <c r="T154" s="119"/>
      <c r="U154" s="119"/>
      <c r="V154" s="119"/>
      <c r="W154" s="119"/>
      <c r="X154" s="119"/>
      <c r="Y154" s="120">
        <v>896189.94</v>
      </c>
      <c r="Z154" s="120"/>
      <c r="AA154" s="120">
        <v>159909.9</v>
      </c>
      <c r="AB154" s="121">
        <v>3272804.87</v>
      </c>
      <c r="AC154" s="121">
        <v>0</v>
      </c>
      <c r="AD154" s="121">
        <v>22397.200000000001</v>
      </c>
      <c r="AE154" s="121">
        <v>0</v>
      </c>
      <c r="AF154" s="121">
        <v>352445.5</v>
      </c>
      <c r="AG154" s="121">
        <v>10456.93</v>
      </c>
      <c r="AH154" s="121">
        <v>0</v>
      </c>
      <c r="AI154" s="121">
        <v>0</v>
      </c>
      <c r="AJ154" s="121">
        <v>172256.85999999856</v>
      </c>
      <c r="AK154" s="121">
        <v>0</v>
      </c>
      <c r="AL154" s="121">
        <v>0</v>
      </c>
      <c r="AM154" s="121">
        <v>0</v>
      </c>
      <c r="AN154" s="121">
        <v>0</v>
      </c>
      <c r="AO154" s="121">
        <v>0</v>
      </c>
      <c r="AP154" s="121">
        <v>0</v>
      </c>
      <c r="AQ154" s="121">
        <v>0</v>
      </c>
      <c r="AR154" s="121">
        <v>0</v>
      </c>
      <c r="AS154" s="121">
        <v>0</v>
      </c>
      <c r="AT154" s="121">
        <v>0</v>
      </c>
      <c r="AU154" s="121">
        <v>47702.38</v>
      </c>
      <c r="AV154" s="121">
        <v>84405</v>
      </c>
      <c r="AW154" s="121">
        <v>1606383.03</v>
      </c>
      <c r="AX154" s="121">
        <v>0</v>
      </c>
      <c r="AY154" s="121">
        <v>463372.51</v>
      </c>
      <c r="AZ154" s="121">
        <v>141455.31</v>
      </c>
      <c r="BA154" s="121">
        <v>186025.27</v>
      </c>
      <c r="BB154" s="121">
        <v>112223.82</v>
      </c>
      <c r="BC154" s="121">
        <v>155804.14000000001</v>
      </c>
      <c r="BD154" s="121">
        <v>99</v>
      </c>
      <c r="BE154" s="121">
        <v>15683.62</v>
      </c>
      <c r="BF154" s="121">
        <v>0</v>
      </c>
      <c r="BG154" s="121">
        <v>0</v>
      </c>
      <c r="BH154" s="121">
        <v>45195.040000000001</v>
      </c>
      <c r="BI154" s="121">
        <v>6086.46</v>
      </c>
      <c r="BJ154" s="121">
        <v>8484.76</v>
      </c>
      <c r="BK154" s="121">
        <v>7219.41</v>
      </c>
      <c r="BL154" s="121">
        <v>103862.01</v>
      </c>
      <c r="BM154" s="121">
        <v>39878.400000000001</v>
      </c>
      <c r="BN154" s="121">
        <v>2772.38</v>
      </c>
      <c r="BO154" s="121">
        <v>151780.74</v>
      </c>
      <c r="BP154" s="121">
        <v>51053.01</v>
      </c>
      <c r="BQ154" s="121">
        <v>0</v>
      </c>
      <c r="BR154" s="121">
        <v>44653.53</v>
      </c>
      <c r="BS154" s="121">
        <v>4895</v>
      </c>
      <c r="BT154" s="121">
        <v>11459.4</v>
      </c>
      <c r="BU154" s="121">
        <v>110269.28</v>
      </c>
      <c r="BV154" s="121">
        <v>243502.2</v>
      </c>
      <c r="BW154" s="121">
        <v>67794.25</v>
      </c>
      <c r="BX154" s="121">
        <v>275406.09000000003</v>
      </c>
      <c r="BY154" s="121">
        <v>0</v>
      </c>
      <c r="BZ154" s="121">
        <v>0</v>
      </c>
      <c r="CA154" s="121">
        <v>0</v>
      </c>
      <c r="CB154" s="121">
        <v>0</v>
      </c>
      <c r="CC154" s="121">
        <v>0</v>
      </c>
      <c r="CD154" s="121">
        <v>11085.25</v>
      </c>
      <c r="CE154" s="121">
        <v>23123.25</v>
      </c>
      <c r="CF154" s="121">
        <v>0</v>
      </c>
      <c r="CG154" s="121">
        <v>0</v>
      </c>
      <c r="CH154" s="121">
        <v>0</v>
      </c>
      <c r="CI154" s="121">
        <v>0</v>
      </c>
      <c r="CJ154" s="121">
        <v>0</v>
      </c>
      <c r="CK154" s="121"/>
      <c r="CL154" s="121">
        <v>1003300.02</v>
      </c>
      <c r="CM154" s="121"/>
      <c r="CN154" s="121">
        <v>194118.39999999999</v>
      </c>
      <c r="CO154" s="121">
        <v>0</v>
      </c>
      <c r="CP154" s="121">
        <v>0</v>
      </c>
      <c r="CQ154" s="121">
        <v>0</v>
      </c>
      <c r="CR154" s="118"/>
      <c r="CS154" s="33">
        <v>1003300.02</v>
      </c>
      <c r="CT154" s="33">
        <v>194118.39999999999</v>
      </c>
      <c r="CU154" s="65">
        <v>1003300.02</v>
      </c>
      <c r="CV154" s="65">
        <v>194118.39999999999</v>
      </c>
      <c r="CW154" s="65">
        <v>0</v>
      </c>
      <c r="CX154" s="33">
        <v>0</v>
      </c>
      <c r="CY154" s="33">
        <v>1197418.42</v>
      </c>
      <c r="CZ154" s="66">
        <v>23123.25</v>
      </c>
      <c r="DA154" s="33">
        <v>23123.25</v>
      </c>
      <c r="DB154" s="33">
        <v>4.0000001434236765E-2</v>
      </c>
      <c r="DC154" s="33">
        <v>0</v>
      </c>
      <c r="DF154" s="33">
        <v>0</v>
      </c>
      <c r="DI154" s="33">
        <v>1003300.02</v>
      </c>
      <c r="DJ154" s="33">
        <v>194118.39999999999</v>
      </c>
      <c r="DK154" s="65">
        <v>1003300.02</v>
      </c>
      <c r="DL154" s="65">
        <v>194118.39999999999</v>
      </c>
      <c r="DQ154" s="115">
        <v>3302293</v>
      </c>
      <c r="DS154" s="33">
        <v>0</v>
      </c>
      <c r="DT154" s="33">
        <v>3962468.7399999988</v>
      </c>
      <c r="DU154" s="33">
        <v>3855358.6599999988</v>
      </c>
      <c r="DV154" s="33">
        <v>107110.08000000007</v>
      </c>
      <c r="DW154" s="33">
        <v>34208.5</v>
      </c>
      <c r="DX154" s="33">
        <v>0</v>
      </c>
      <c r="DY154" s="33">
        <v>34208.5</v>
      </c>
    </row>
    <row r="155" spans="2:129" x14ac:dyDescent="0.35">
      <c r="B155" s="87">
        <v>2317</v>
      </c>
      <c r="C155" s="115">
        <v>3302317</v>
      </c>
      <c r="D155" s="116" t="s">
        <v>427</v>
      </c>
      <c r="E155" s="116" t="s">
        <v>428</v>
      </c>
      <c r="F155" s="117"/>
      <c r="G155" s="118"/>
      <c r="H155" s="115"/>
      <c r="I155" s="115"/>
      <c r="J155" s="115"/>
      <c r="K155" s="115"/>
      <c r="L155" s="115"/>
      <c r="M155" s="115"/>
      <c r="N155" s="115"/>
      <c r="O155" s="115"/>
      <c r="P155" s="115"/>
      <c r="Q155" s="115"/>
      <c r="R155" s="115"/>
      <c r="S155" s="119"/>
      <c r="T155" s="119"/>
      <c r="U155" s="119"/>
      <c r="V155" s="119"/>
      <c r="W155" s="119"/>
      <c r="X155" s="119"/>
      <c r="Y155" s="120">
        <v>89747.87</v>
      </c>
      <c r="Z155" s="120"/>
      <c r="AA155" s="120">
        <v>-1170.28</v>
      </c>
      <c r="AB155" s="121">
        <v>1709711.3600000001</v>
      </c>
      <c r="AC155" s="121">
        <v>0</v>
      </c>
      <c r="AD155" s="121">
        <v>144953.91</v>
      </c>
      <c r="AE155" s="121">
        <v>0</v>
      </c>
      <c r="AF155" s="121">
        <v>148365.5</v>
      </c>
      <c r="AG155" s="121">
        <v>200</v>
      </c>
      <c r="AH155" s="121">
        <v>0</v>
      </c>
      <c r="AI155" s="121">
        <v>0</v>
      </c>
      <c r="AJ155" s="121">
        <v>45022.45</v>
      </c>
      <c r="AK155" s="121">
        <v>0</v>
      </c>
      <c r="AL155" s="121">
        <v>0</v>
      </c>
      <c r="AM155" s="121">
        <v>0</v>
      </c>
      <c r="AN155" s="121">
        <v>147.5</v>
      </c>
      <c r="AO155" s="121">
        <v>216.3</v>
      </c>
      <c r="AP155" s="121">
        <v>0</v>
      </c>
      <c r="AQ155" s="121">
        <v>0</v>
      </c>
      <c r="AR155" s="121">
        <v>0</v>
      </c>
      <c r="AS155" s="121">
        <v>0</v>
      </c>
      <c r="AT155" s="121">
        <v>0</v>
      </c>
      <c r="AU155" s="121">
        <v>10613.56</v>
      </c>
      <c r="AV155" s="121">
        <v>89178</v>
      </c>
      <c r="AW155" s="121">
        <v>861889.99</v>
      </c>
      <c r="AX155" s="121">
        <v>0</v>
      </c>
      <c r="AY155" s="121">
        <v>391211.21</v>
      </c>
      <c r="AZ155" s="121">
        <v>64509.06</v>
      </c>
      <c r="BA155" s="121">
        <v>147001.04999999999</v>
      </c>
      <c r="BB155" s="121">
        <v>0</v>
      </c>
      <c r="BC155" s="121">
        <v>57920.74</v>
      </c>
      <c r="BD155" s="121">
        <v>2000</v>
      </c>
      <c r="BE155" s="121">
        <v>3542</v>
      </c>
      <c r="BF155" s="121">
        <v>0</v>
      </c>
      <c r="BG155" s="121">
        <v>0</v>
      </c>
      <c r="BH155" s="121">
        <v>10893.78</v>
      </c>
      <c r="BI155" s="121">
        <v>1554.4</v>
      </c>
      <c r="BJ155" s="121">
        <v>4831.08</v>
      </c>
      <c r="BK155" s="121">
        <v>12564.08</v>
      </c>
      <c r="BL155" s="121">
        <v>80895.100000000006</v>
      </c>
      <c r="BM155" s="121">
        <v>0</v>
      </c>
      <c r="BN155" s="121">
        <v>1346.49</v>
      </c>
      <c r="BO155" s="121">
        <v>35359.730000000003</v>
      </c>
      <c r="BP155" s="121">
        <v>0</v>
      </c>
      <c r="BQ155" s="121">
        <v>552.91999999999996</v>
      </c>
      <c r="BR155" s="121">
        <v>58663.96</v>
      </c>
      <c r="BS155" s="121">
        <v>4895</v>
      </c>
      <c r="BT155" s="121">
        <v>770</v>
      </c>
      <c r="BU155" s="121">
        <v>123336.76</v>
      </c>
      <c r="BV155" s="121">
        <v>228169.56</v>
      </c>
      <c r="BW155" s="121">
        <v>0</v>
      </c>
      <c r="BX155" s="121">
        <v>57622.69</v>
      </c>
      <c r="BY155" s="121">
        <v>0</v>
      </c>
      <c r="BZ155" s="121">
        <v>0</v>
      </c>
      <c r="CA155" s="121">
        <v>0</v>
      </c>
      <c r="CB155" s="121">
        <v>0</v>
      </c>
      <c r="CC155" s="121">
        <v>0</v>
      </c>
      <c r="CD155" s="121">
        <v>7591</v>
      </c>
      <c r="CE155" s="121">
        <v>16266.739999999998</v>
      </c>
      <c r="CF155" s="121">
        <v>0</v>
      </c>
      <c r="CG155" s="121">
        <v>0</v>
      </c>
      <c r="CH155" s="121">
        <v>0</v>
      </c>
      <c r="CI155" s="121">
        <v>0</v>
      </c>
      <c r="CJ155" s="121">
        <v>9557.91</v>
      </c>
      <c r="CK155" s="121"/>
      <c r="CL155" s="121">
        <v>88626.849999999977</v>
      </c>
      <c r="CM155" s="121"/>
      <c r="CN155" s="121">
        <v>13129.549999999997</v>
      </c>
      <c r="CO155" s="121">
        <v>0</v>
      </c>
      <c r="CP155" s="121">
        <v>0</v>
      </c>
      <c r="CQ155" s="121">
        <v>0</v>
      </c>
      <c r="CR155" s="118"/>
      <c r="CS155" s="33">
        <v>88626.849999999977</v>
      </c>
      <c r="CT155" s="33">
        <v>13129.549999999997</v>
      </c>
      <c r="CU155" s="65">
        <v>88626.85</v>
      </c>
      <c r="CV155" s="65">
        <v>13129.55</v>
      </c>
      <c r="CW155" s="65">
        <v>0</v>
      </c>
      <c r="CX155" s="33">
        <v>0</v>
      </c>
      <c r="CY155" s="33">
        <v>101756.40000000001</v>
      </c>
      <c r="CZ155" s="66">
        <v>16266.739999999998</v>
      </c>
      <c r="DA155" s="33">
        <v>16266.739999999998</v>
      </c>
      <c r="DB155" s="33">
        <v>0</v>
      </c>
      <c r="DC155" s="33">
        <v>0</v>
      </c>
      <c r="DF155" s="33">
        <v>-2.5465851649641991E-11</v>
      </c>
      <c r="DI155" s="33">
        <v>88626.849999999977</v>
      </c>
      <c r="DJ155" s="33">
        <v>13129.549999999997</v>
      </c>
      <c r="DK155" s="65">
        <v>88626.85</v>
      </c>
      <c r="DL155" s="65">
        <v>13129.55</v>
      </c>
      <c r="DQ155" s="115">
        <v>3302317</v>
      </c>
      <c r="DS155" s="33">
        <v>0</v>
      </c>
      <c r="DT155" s="33">
        <v>2148408.58</v>
      </c>
      <c r="DU155" s="33">
        <v>2149529.6000000001</v>
      </c>
      <c r="DV155" s="33">
        <v>-1121.0200000000186</v>
      </c>
      <c r="DW155" s="33">
        <v>23857.739999999998</v>
      </c>
      <c r="DX155" s="33">
        <v>9557.91</v>
      </c>
      <c r="DY155" s="33">
        <v>14299.829999999998</v>
      </c>
    </row>
    <row r="156" spans="2:129" x14ac:dyDescent="0.35">
      <c r="B156" s="87">
        <v>2406</v>
      </c>
      <c r="C156" s="115">
        <v>3302406</v>
      </c>
      <c r="D156" s="116" t="s">
        <v>429</v>
      </c>
      <c r="E156" s="116" t="s">
        <v>430</v>
      </c>
      <c r="F156" s="117"/>
      <c r="G156" s="118"/>
      <c r="H156" s="115"/>
      <c r="I156" s="115"/>
      <c r="J156" s="115"/>
      <c r="K156" s="115"/>
      <c r="L156" s="115"/>
      <c r="M156" s="115"/>
      <c r="N156" s="115"/>
      <c r="O156" s="115"/>
      <c r="P156" s="115"/>
      <c r="Q156" s="115"/>
      <c r="R156" s="115"/>
      <c r="S156" s="119"/>
      <c r="T156" s="119"/>
      <c r="U156" s="119"/>
      <c r="V156" s="119"/>
      <c r="W156" s="119"/>
      <c r="X156" s="119"/>
      <c r="Y156" s="120">
        <v>280296.32000000001</v>
      </c>
      <c r="Z156" s="120"/>
      <c r="AA156" s="120">
        <v>-74347.41</v>
      </c>
      <c r="AB156" s="121">
        <v>1197041.29</v>
      </c>
      <c r="AC156" s="121">
        <v>0</v>
      </c>
      <c r="AD156" s="121">
        <v>33632</v>
      </c>
      <c r="AE156" s="121">
        <v>0</v>
      </c>
      <c r="AF156" s="121">
        <v>153851</v>
      </c>
      <c r="AG156" s="121">
        <v>1056.98</v>
      </c>
      <c r="AH156" s="121">
        <v>0</v>
      </c>
      <c r="AI156" s="121">
        <v>0</v>
      </c>
      <c r="AJ156" s="121">
        <v>0</v>
      </c>
      <c r="AK156" s="121">
        <v>0</v>
      </c>
      <c r="AL156" s="121">
        <v>0</v>
      </c>
      <c r="AM156" s="121">
        <v>0</v>
      </c>
      <c r="AN156" s="121">
        <v>49470.53</v>
      </c>
      <c r="AO156" s="121">
        <v>0</v>
      </c>
      <c r="AP156" s="121">
        <v>0</v>
      </c>
      <c r="AQ156" s="121">
        <v>0</v>
      </c>
      <c r="AR156" s="121">
        <v>0</v>
      </c>
      <c r="AS156" s="121">
        <v>0</v>
      </c>
      <c r="AT156" s="121">
        <v>0</v>
      </c>
      <c r="AU156" s="121">
        <v>25366.880000000001</v>
      </c>
      <c r="AV156" s="121">
        <v>36468</v>
      </c>
      <c r="AW156" s="121">
        <v>74206.939999999769</v>
      </c>
      <c r="AX156" s="121">
        <v>0</v>
      </c>
      <c r="AY156" s="121">
        <v>0</v>
      </c>
      <c r="AZ156" s="121">
        <v>0</v>
      </c>
      <c r="BA156" s="121">
        <v>0</v>
      </c>
      <c r="BB156" s="121">
        <v>0</v>
      </c>
      <c r="BC156" s="121">
        <v>0</v>
      </c>
      <c r="BD156" s="121">
        <v>0</v>
      </c>
      <c r="BE156" s="121">
        <v>0</v>
      </c>
      <c r="BF156" s="121">
        <v>0</v>
      </c>
      <c r="BG156" s="121">
        <v>0</v>
      </c>
      <c r="BH156" s="121">
        <v>220</v>
      </c>
      <c r="BI156" s="121">
        <v>1452.9</v>
      </c>
      <c r="BJ156" s="121">
        <v>0</v>
      </c>
      <c r="BK156" s="121">
        <v>0</v>
      </c>
      <c r="BL156" s="121">
        <v>36005.93</v>
      </c>
      <c r="BM156" s="121">
        <v>0</v>
      </c>
      <c r="BN156" s="121">
        <v>1811.94</v>
      </c>
      <c r="BO156" s="121">
        <v>4172.8599999999997</v>
      </c>
      <c r="BP156" s="121">
        <v>0</v>
      </c>
      <c r="BQ156" s="121">
        <v>0</v>
      </c>
      <c r="BR156" s="121">
        <v>1424097.86</v>
      </c>
      <c r="BS156" s="121">
        <v>4895</v>
      </c>
      <c r="BT156" s="121">
        <v>0</v>
      </c>
      <c r="BU156" s="121">
        <v>5374.96</v>
      </c>
      <c r="BV156" s="121">
        <v>0</v>
      </c>
      <c r="BW156" s="121">
        <v>2250</v>
      </c>
      <c r="BX156" s="121">
        <v>4926.08</v>
      </c>
      <c r="BY156" s="121">
        <v>0</v>
      </c>
      <c r="BZ156" s="121">
        <v>0</v>
      </c>
      <c r="CA156" s="121">
        <v>53911.24</v>
      </c>
      <c r="CB156" s="121">
        <v>0</v>
      </c>
      <c r="CC156" s="121">
        <v>0</v>
      </c>
      <c r="CD156" s="121">
        <v>6283.75</v>
      </c>
      <c r="CE156" s="121">
        <v>14152.420000000006</v>
      </c>
      <c r="CF156" s="121">
        <v>53911.24</v>
      </c>
      <c r="CG156" s="121">
        <v>0</v>
      </c>
      <c r="CH156" s="121">
        <v>0</v>
      </c>
      <c r="CI156" s="121">
        <v>0</v>
      </c>
      <c r="CJ156" s="121">
        <v>0</v>
      </c>
      <c r="CK156" s="121"/>
      <c r="CL156" s="121">
        <v>163857.28999999998</v>
      </c>
      <c r="CM156" s="121"/>
      <c r="CN156" s="121">
        <v>0</v>
      </c>
      <c r="CO156" s="121">
        <v>0</v>
      </c>
      <c r="CP156" s="121">
        <v>0</v>
      </c>
      <c r="CQ156" s="121">
        <v>0</v>
      </c>
      <c r="CR156" s="118"/>
      <c r="CS156" s="33">
        <v>163857.28999999998</v>
      </c>
      <c r="CT156" s="33">
        <v>0</v>
      </c>
      <c r="CU156" s="65">
        <v>217768.53</v>
      </c>
      <c r="CV156" s="65">
        <v>-53911.24</v>
      </c>
      <c r="CW156" s="65">
        <v>-53911.24000000002</v>
      </c>
      <c r="CX156" s="33">
        <v>-53911.24</v>
      </c>
      <c r="CY156" s="33">
        <v>163857.29</v>
      </c>
      <c r="CZ156" s="66">
        <v>14152.420000000006</v>
      </c>
      <c r="DA156" s="33">
        <v>14152.420000000006</v>
      </c>
      <c r="DB156" s="33">
        <v>2.9999999766005203E-2</v>
      </c>
      <c r="DC156" s="33">
        <v>0</v>
      </c>
      <c r="DD156" s="65">
        <v>-53911.24</v>
      </c>
      <c r="DF156" s="33">
        <v>0</v>
      </c>
      <c r="DI156" s="33">
        <v>163857.28999999998</v>
      </c>
      <c r="DJ156" s="33">
        <v>0</v>
      </c>
      <c r="DK156" s="65">
        <v>217768.53</v>
      </c>
      <c r="DL156" s="65">
        <v>-53911.24</v>
      </c>
      <c r="DQ156" s="115">
        <v>3302406</v>
      </c>
      <c r="DS156" s="33">
        <v>0</v>
      </c>
      <c r="DT156" s="33">
        <v>1496886.68</v>
      </c>
      <c r="DU156" s="33">
        <v>1613325.71</v>
      </c>
      <c r="DV156" s="33">
        <v>-116439.03000000003</v>
      </c>
      <c r="DW156" s="33">
        <v>74347.41</v>
      </c>
      <c r="DX156" s="33">
        <v>0</v>
      </c>
      <c r="DY156" s="33">
        <v>74347.41</v>
      </c>
    </row>
    <row r="157" spans="2:129" x14ac:dyDescent="0.35">
      <c r="B157" s="87">
        <v>2412</v>
      </c>
      <c r="C157" s="115">
        <v>3302412</v>
      </c>
      <c r="D157" s="116" t="s">
        <v>431</v>
      </c>
      <c r="E157" s="116" t="s">
        <v>432</v>
      </c>
      <c r="F157" s="117"/>
      <c r="G157" s="118"/>
      <c r="H157" s="115"/>
      <c r="I157" s="115"/>
      <c r="J157" s="115"/>
      <c r="K157" s="115"/>
      <c r="L157" s="115"/>
      <c r="M157" s="115"/>
      <c r="N157" s="115"/>
      <c r="O157" s="115"/>
      <c r="P157" s="115"/>
      <c r="Q157" s="115"/>
      <c r="R157" s="115"/>
      <c r="S157" s="119"/>
      <c r="T157" s="119"/>
      <c r="U157" s="119"/>
      <c r="V157" s="119"/>
      <c r="W157" s="119"/>
      <c r="X157" s="119"/>
      <c r="Y157" s="120">
        <v>465046.82</v>
      </c>
      <c r="Z157" s="120"/>
      <c r="AA157" s="120">
        <v>34391.61</v>
      </c>
      <c r="AB157" s="121">
        <v>1983636.16</v>
      </c>
      <c r="AC157" s="121">
        <v>0</v>
      </c>
      <c r="AD157" s="121">
        <v>46111.4</v>
      </c>
      <c r="AE157" s="121">
        <v>0</v>
      </c>
      <c r="AF157" s="121">
        <v>142525.5</v>
      </c>
      <c r="AG157" s="121">
        <v>9113.86</v>
      </c>
      <c r="AH157" s="121">
        <v>0</v>
      </c>
      <c r="AI157" s="121">
        <v>0</v>
      </c>
      <c r="AJ157" s="121">
        <v>387371.79999999987</v>
      </c>
      <c r="AK157" s="121">
        <v>0</v>
      </c>
      <c r="AL157" s="121">
        <v>0</v>
      </c>
      <c r="AM157" s="121">
        <v>0</v>
      </c>
      <c r="AN157" s="121">
        <v>24007.99</v>
      </c>
      <c r="AO157" s="121">
        <v>0</v>
      </c>
      <c r="AP157" s="121">
        <v>0</v>
      </c>
      <c r="AQ157" s="121">
        <v>0</v>
      </c>
      <c r="AR157" s="121">
        <v>0</v>
      </c>
      <c r="AS157" s="121">
        <v>0</v>
      </c>
      <c r="AT157" s="121">
        <v>0</v>
      </c>
      <c r="AU157" s="121">
        <v>17556.04</v>
      </c>
      <c r="AV157" s="121">
        <v>83087</v>
      </c>
      <c r="AW157" s="121">
        <v>1353002.14</v>
      </c>
      <c r="AX157" s="121">
        <v>0</v>
      </c>
      <c r="AY157" s="121">
        <v>168640.08</v>
      </c>
      <c r="AZ157" s="121">
        <v>76718.8</v>
      </c>
      <c r="BA157" s="121">
        <v>111069.32</v>
      </c>
      <c r="BB157" s="121">
        <v>0</v>
      </c>
      <c r="BC157" s="121">
        <v>85453.81</v>
      </c>
      <c r="BD157" s="121">
        <v>3120.81</v>
      </c>
      <c r="BE157" s="121">
        <v>5246.45</v>
      </c>
      <c r="BF157" s="121">
        <v>0</v>
      </c>
      <c r="BG157" s="121">
        <v>0</v>
      </c>
      <c r="BH157" s="121">
        <v>57781.43</v>
      </c>
      <c r="BI157" s="121">
        <v>2095</v>
      </c>
      <c r="BJ157" s="121">
        <v>7031.89</v>
      </c>
      <c r="BK157" s="121">
        <v>6838.41</v>
      </c>
      <c r="BL157" s="121">
        <v>53331.32</v>
      </c>
      <c r="BM157" s="121">
        <v>31130.880000000001</v>
      </c>
      <c r="BN157" s="121">
        <v>1873.01</v>
      </c>
      <c r="BO157" s="121">
        <v>42071.14</v>
      </c>
      <c r="BP157" s="121">
        <v>6323.52</v>
      </c>
      <c r="BQ157" s="121">
        <v>1059.48</v>
      </c>
      <c r="BR157" s="121">
        <v>125982.49</v>
      </c>
      <c r="BS157" s="121">
        <v>4895</v>
      </c>
      <c r="BT157" s="121">
        <v>1456.05</v>
      </c>
      <c r="BU157" s="121">
        <v>84790.62</v>
      </c>
      <c r="BV157" s="121">
        <v>152326.46</v>
      </c>
      <c r="BW157" s="121">
        <v>24662.880000000001</v>
      </c>
      <c r="BX157" s="121">
        <v>182208.24</v>
      </c>
      <c r="BY157" s="121">
        <v>0</v>
      </c>
      <c r="BZ157" s="121">
        <v>0</v>
      </c>
      <c r="CA157" s="121">
        <v>0</v>
      </c>
      <c r="CB157" s="121">
        <v>0</v>
      </c>
      <c r="CC157" s="121">
        <v>0</v>
      </c>
      <c r="CD157" s="121">
        <v>8747.5</v>
      </c>
      <c r="CE157" s="121">
        <v>18405.14</v>
      </c>
      <c r="CF157" s="121">
        <v>0</v>
      </c>
      <c r="CG157" s="121">
        <v>0</v>
      </c>
      <c r="CH157" s="121">
        <v>0</v>
      </c>
      <c r="CI157" s="121">
        <v>0</v>
      </c>
      <c r="CJ157" s="121">
        <v>0</v>
      </c>
      <c r="CK157" s="121"/>
      <c r="CL157" s="121">
        <v>569347.34000000008</v>
      </c>
      <c r="CM157" s="121"/>
      <c r="CN157" s="121">
        <v>61544.25</v>
      </c>
      <c r="CO157" s="121">
        <v>0</v>
      </c>
      <c r="CP157" s="121">
        <v>0</v>
      </c>
      <c r="CQ157" s="121">
        <v>0</v>
      </c>
      <c r="CR157" s="118"/>
      <c r="CS157" s="33">
        <v>569347.34000000008</v>
      </c>
      <c r="CT157" s="33">
        <v>61544.25</v>
      </c>
      <c r="CU157" s="65">
        <v>569347.34</v>
      </c>
      <c r="CV157" s="65">
        <v>61544.25</v>
      </c>
      <c r="CW157" s="65">
        <v>0</v>
      </c>
      <c r="CX157" s="33">
        <v>0</v>
      </c>
      <c r="CY157" s="33">
        <v>630891.59</v>
      </c>
      <c r="CZ157" s="66">
        <v>18405.14</v>
      </c>
      <c r="DA157" s="33">
        <v>18405.14</v>
      </c>
      <c r="DB157" s="33">
        <v>2.0000000135041773E-2</v>
      </c>
      <c r="DC157" s="33">
        <v>0</v>
      </c>
      <c r="DF157" s="33">
        <v>1.1641532182693481E-10</v>
      </c>
      <c r="DI157" s="33">
        <v>569347.34000000008</v>
      </c>
      <c r="DJ157" s="33">
        <v>61544.25</v>
      </c>
      <c r="DK157" s="65">
        <v>569347.34</v>
      </c>
      <c r="DL157" s="65">
        <v>61544.25</v>
      </c>
      <c r="DQ157" s="115">
        <v>3302412</v>
      </c>
      <c r="DS157" s="33">
        <v>0</v>
      </c>
      <c r="DT157" s="33">
        <v>2693409.7499999995</v>
      </c>
      <c r="DU157" s="33">
        <v>2589109.2299999995</v>
      </c>
      <c r="DV157" s="33">
        <v>104300.52000000002</v>
      </c>
      <c r="DW157" s="33">
        <v>27152.639999999999</v>
      </c>
      <c r="DX157" s="33">
        <v>0</v>
      </c>
      <c r="DY157" s="33">
        <v>27152.639999999999</v>
      </c>
    </row>
    <row r="158" spans="2:129" x14ac:dyDescent="0.35">
      <c r="B158" s="87">
        <v>2425</v>
      </c>
      <c r="C158" s="115">
        <v>3302425</v>
      </c>
      <c r="D158" s="116" t="s">
        <v>433</v>
      </c>
      <c r="E158" s="116" t="s">
        <v>434</v>
      </c>
      <c r="F158" s="117"/>
      <c r="G158" s="118"/>
      <c r="H158" s="115"/>
      <c r="I158" s="115"/>
      <c r="J158" s="115"/>
      <c r="K158" s="115"/>
      <c r="L158" s="115"/>
      <c r="M158" s="115"/>
      <c r="N158" s="115"/>
      <c r="O158" s="115"/>
      <c r="P158" s="115"/>
      <c r="Q158" s="115"/>
      <c r="R158" s="115"/>
      <c r="S158" s="119"/>
      <c r="T158" s="119"/>
      <c r="U158" s="119"/>
      <c r="V158" s="119"/>
      <c r="W158" s="119"/>
      <c r="X158" s="119"/>
      <c r="Y158" s="120"/>
      <c r="Z158" s="120">
        <v>-196845.94</v>
      </c>
      <c r="AA158" s="120">
        <v>-41598.5</v>
      </c>
      <c r="AB158" s="121">
        <v>1030849.8</v>
      </c>
      <c r="AC158" s="121">
        <v>0</v>
      </c>
      <c r="AD158" s="121">
        <v>32550</v>
      </c>
      <c r="AE158" s="121">
        <v>0</v>
      </c>
      <c r="AF158" s="121">
        <v>50480</v>
      </c>
      <c r="AG158" s="121">
        <v>0</v>
      </c>
      <c r="AH158" s="121">
        <v>0</v>
      </c>
      <c r="AI158" s="121">
        <v>0</v>
      </c>
      <c r="AJ158" s="121">
        <v>74180.019999999597</v>
      </c>
      <c r="AK158" s="121">
        <v>0</v>
      </c>
      <c r="AL158" s="121">
        <v>0</v>
      </c>
      <c r="AM158" s="121">
        <v>0</v>
      </c>
      <c r="AN158" s="121">
        <v>13309.4</v>
      </c>
      <c r="AO158" s="121">
        <v>0</v>
      </c>
      <c r="AP158" s="121">
        <v>0</v>
      </c>
      <c r="AQ158" s="121">
        <v>0</v>
      </c>
      <c r="AR158" s="121">
        <v>0</v>
      </c>
      <c r="AS158" s="121">
        <v>0</v>
      </c>
      <c r="AT158" s="121">
        <v>0</v>
      </c>
      <c r="AU158" s="121">
        <v>7829.72</v>
      </c>
      <c r="AV158" s="121">
        <v>58789</v>
      </c>
      <c r="AW158" s="121">
        <v>663586.81999999995</v>
      </c>
      <c r="AX158" s="121">
        <v>0</v>
      </c>
      <c r="AY158" s="121">
        <v>208722.59</v>
      </c>
      <c r="AZ158" s="121">
        <v>45478.94</v>
      </c>
      <c r="BA158" s="121">
        <v>63295.56</v>
      </c>
      <c r="BB158" s="121">
        <v>0</v>
      </c>
      <c r="BC158" s="121">
        <v>52067.57</v>
      </c>
      <c r="BD158" s="121">
        <v>70.2</v>
      </c>
      <c r="BE158" s="121">
        <v>3393.74</v>
      </c>
      <c r="BF158" s="121">
        <v>0</v>
      </c>
      <c r="BG158" s="121">
        <v>0</v>
      </c>
      <c r="BH158" s="121">
        <v>44048.12</v>
      </c>
      <c r="BI158" s="121">
        <v>10953.42</v>
      </c>
      <c r="BJ158" s="121">
        <v>30171.16</v>
      </c>
      <c r="BK158" s="121">
        <v>2841.24</v>
      </c>
      <c r="BL158" s="121">
        <v>43577.18</v>
      </c>
      <c r="BM158" s="121">
        <v>0</v>
      </c>
      <c r="BN158" s="121">
        <v>6356.97</v>
      </c>
      <c r="BO158" s="121">
        <v>65472.84</v>
      </c>
      <c r="BP158" s="121">
        <v>4022.26</v>
      </c>
      <c r="BQ158" s="121">
        <v>57419.24</v>
      </c>
      <c r="BR158" s="121">
        <v>15466.94</v>
      </c>
      <c r="BS158" s="121">
        <v>4895</v>
      </c>
      <c r="BT158" s="121">
        <v>0</v>
      </c>
      <c r="BU158" s="121">
        <v>71766.19</v>
      </c>
      <c r="BV158" s="121">
        <v>1592</v>
      </c>
      <c r="BW158" s="121">
        <v>3648</v>
      </c>
      <c r="BX158" s="121">
        <v>36904.86</v>
      </c>
      <c r="BY158" s="121">
        <v>0</v>
      </c>
      <c r="BZ158" s="121">
        <v>0</v>
      </c>
      <c r="CA158" s="121">
        <v>5598.5</v>
      </c>
      <c r="CB158" s="121">
        <v>0</v>
      </c>
      <c r="CC158" s="121">
        <v>0</v>
      </c>
      <c r="CD158" s="121">
        <v>6351.25</v>
      </c>
      <c r="CE158" s="121">
        <v>29648.75</v>
      </c>
      <c r="CF158" s="121">
        <v>5598.5</v>
      </c>
      <c r="CG158" s="121">
        <v>0</v>
      </c>
      <c r="CH158" s="121">
        <v>0</v>
      </c>
      <c r="CI158" s="121">
        <v>0</v>
      </c>
      <c r="CJ158" s="121">
        <v>0</v>
      </c>
      <c r="CK158" s="121"/>
      <c r="CL158" s="121">
        <v>-370207.34000000014</v>
      </c>
      <c r="CM158" s="121"/>
      <c r="CN158" s="121">
        <v>0</v>
      </c>
      <c r="CO158" s="121">
        <v>0</v>
      </c>
      <c r="CP158" s="121">
        <v>0</v>
      </c>
      <c r="CQ158" s="121">
        <v>0</v>
      </c>
      <c r="CR158" s="118"/>
      <c r="CS158" s="33">
        <v>-370207.34000000014</v>
      </c>
      <c r="CT158" s="33">
        <v>0</v>
      </c>
      <c r="CU158" s="65">
        <v>-364608.84</v>
      </c>
      <c r="CV158" s="65">
        <v>-5598.5</v>
      </c>
      <c r="CW158" s="65">
        <v>-5598.5000000001164</v>
      </c>
      <c r="CX158" s="33">
        <v>-5598.5</v>
      </c>
      <c r="CY158" s="33">
        <v>-370207.34</v>
      </c>
      <c r="CZ158" s="66">
        <v>29648.75</v>
      </c>
      <c r="DA158" s="33">
        <v>29648.75</v>
      </c>
      <c r="DB158" s="33">
        <v>19.060000000405125</v>
      </c>
      <c r="DC158" s="33">
        <v>0</v>
      </c>
      <c r="DD158" s="65">
        <v>-5598.5</v>
      </c>
      <c r="DF158" s="33">
        <v>-1.1641532182693481E-10</v>
      </c>
      <c r="DI158" s="33">
        <v>-370207.34000000014</v>
      </c>
      <c r="DJ158" s="33">
        <v>0</v>
      </c>
      <c r="DK158" s="65">
        <v>-364608.84</v>
      </c>
      <c r="DL158" s="65">
        <v>-5598.5</v>
      </c>
      <c r="DQ158" s="115">
        <v>3302425</v>
      </c>
      <c r="DS158" s="33">
        <v>0</v>
      </c>
      <c r="DT158" s="33">
        <v>1267987.9399999995</v>
      </c>
      <c r="DU158" s="33">
        <v>1441349.3399999996</v>
      </c>
      <c r="DV158" s="33">
        <v>-173361.40000000014</v>
      </c>
      <c r="DW158" s="33">
        <v>41598.5</v>
      </c>
      <c r="DX158" s="33">
        <v>0</v>
      </c>
      <c r="DY158" s="33">
        <v>41598.5</v>
      </c>
    </row>
    <row r="159" spans="2:129" x14ac:dyDescent="0.35">
      <c r="B159" s="87">
        <v>2435</v>
      </c>
      <c r="C159" s="115">
        <v>3302435</v>
      </c>
      <c r="D159" s="116" t="s">
        <v>435</v>
      </c>
      <c r="E159" s="116" t="s">
        <v>436</v>
      </c>
      <c r="F159" s="117"/>
      <c r="G159" s="118"/>
      <c r="H159" s="115"/>
      <c r="I159" s="115"/>
      <c r="J159" s="115"/>
      <c r="K159" s="115"/>
      <c r="L159" s="115"/>
      <c r="M159" s="115"/>
      <c r="N159" s="115"/>
      <c r="O159" s="115"/>
      <c r="P159" s="115"/>
      <c r="Q159" s="115"/>
      <c r="R159" s="115"/>
      <c r="S159" s="119"/>
      <c r="T159" s="119"/>
      <c r="U159" s="119"/>
      <c r="V159" s="119"/>
      <c r="W159" s="119"/>
      <c r="X159" s="119"/>
      <c r="Y159" s="120">
        <v>455303.04</v>
      </c>
      <c r="Z159" s="120"/>
      <c r="AA159" s="120">
        <v>-14483.81</v>
      </c>
      <c r="AB159" s="121">
        <v>2443835.66</v>
      </c>
      <c r="AC159" s="121">
        <v>0</v>
      </c>
      <c r="AD159" s="121">
        <v>125181.38</v>
      </c>
      <c r="AE159" s="121">
        <v>0</v>
      </c>
      <c r="AF159" s="121">
        <v>324465</v>
      </c>
      <c r="AG159" s="121">
        <v>2000</v>
      </c>
      <c r="AH159" s="121">
        <v>0</v>
      </c>
      <c r="AI159" s="121">
        <v>0</v>
      </c>
      <c r="AJ159" s="121">
        <v>7531.05</v>
      </c>
      <c r="AK159" s="121">
        <v>0</v>
      </c>
      <c r="AL159" s="121">
        <v>0</v>
      </c>
      <c r="AM159" s="121">
        <v>0</v>
      </c>
      <c r="AN159" s="121">
        <v>0</v>
      </c>
      <c r="AO159" s="121">
        <v>0</v>
      </c>
      <c r="AP159" s="121">
        <v>0</v>
      </c>
      <c r="AQ159" s="121">
        <v>0</v>
      </c>
      <c r="AR159" s="121">
        <v>0</v>
      </c>
      <c r="AS159" s="121">
        <v>0</v>
      </c>
      <c r="AT159" s="121">
        <v>0</v>
      </c>
      <c r="AU159" s="121">
        <v>19535.009999999998</v>
      </c>
      <c r="AV159" s="121">
        <v>57913</v>
      </c>
      <c r="AW159" s="121">
        <v>1112073.05</v>
      </c>
      <c r="AX159" s="121">
        <v>0</v>
      </c>
      <c r="AY159" s="121">
        <v>506716.73</v>
      </c>
      <c r="AZ159" s="121">
        <v>107275.15</v>
      </c>
      <c r="BA159" s="121">
        <v>212641.82</v>
      </c>
      <c r="BB159" s="121">
        <v>66755.240000000005</v>
      </c>
      <c r="BC159" s="121">
        <v>97053.64</v>
      </c>
      <c r="BD159" s="121">
        <v>0</v>
      </c>
      <c r="BE159" s="121">
        <v>1494.16</v>
      </c>
      <c r="BF159" s="121">
        <v>0</v>
      </c>
      <c r="BG159" s="121">
        <v>0</v>
      </c>
      <c r="BH159" s="121">
        <v>25673.79</v>
      </c>
      <c r="BI159" s="121">
        <v>1210.27</v>
      </c>
      <c r="BJ159" s="121">
        <v>10461.19</v>
      </c>
      <c r="BK159" s="121">
        <v>20951.560000000001</v>
      </c>
      <c r="BL159" s="121">
        <v>115858.78</v>
      </c>
      <c r="BM159" s="121">
        <v>0</v>
      </c>
      <c r="BN159" s="121">
        <v>4977.6000000000004</v>
      </c>
      <c r="BO159" s="121">
        <v>110612.59999999963</v>
      </c>
      <c r="BP159" s="121">
        <v>22536.71</v>
      </c>
      <c r="BQ159" s="121">
        <v>5090.38</v>
      </c>
      <c r="BR159" s="121">
        <v>58548.65</v>
      </c>
      <c r="BS159" s="121">
        <v>9020</v>
      </c>
      <c r="BT159" s="121">
        <v>9442.7000000000007</v>
      </c>
      <c r="BU159" s="121">
        <v>61136.47</v>
      </c>
      <c r="BV159" s="121">
        <v>396437.86</v>
      </c>
      <c r="BW159" s="121">
        <v>750</v>
      </c>
      <c r="BX159" s="121">
        <v>156099.69</v>
      </c>
      <c r="BY159" s="121">
        <v>0</v>
      </c>
      <c r="BZ159" s="121">
        <v>0</v>
      </c>
      <c r="CA159" s="121">
        <v>21598.080000000002</v>
      </c>
      <c r="CB159" s="121">
        <v>0</v>
      </c>
      <c r="CC159" s="121">
        <v>0</v>
      </c>
      <c r="CD159" s="121">
        <v>8698</v>
      </c>
      <c r="CE159" s="121">
        <v>18555.589999999997</v>
      </c>
      <c r="CF159" s="121">
        <v>21598.080000000002</v>
      </c>
      <c r="CG159" s="121">
        <v>0</v>
      </c>
      <c r="CH159" s="121">
        <v>0</v>
      </c>
      <c r="CI159" s="121">
        <v>0</v>
      </c>
      <c r="CJ159" s="121">
        <v>34367.86</v>
      </c>
      <c r="CK159" s="121"/>
      <c r="CL159" s="121">
        <v>301348.01999999996</v>
      </c>
      <c r="CM159" s="121"/>
      <c r="CN159" s="121">
        <v>0</v>
      </c>
      <c r="CO159" s="121">
        <v>0</v>
      </c>
      <c r="CP159" s="121">
        <v>0</v>
      </c>
      <c r="CQ159" s="121">
        <v>0</v>
      </c>
      <c r="CR159" s="118"/>
      <c r="CS159" s="33">
        <v>301348.01999999996</v>
      </c>
      <c r="CT159" s="33">
        <v>0</v>
      </c>
      <c r="CU159" s="65">
        <v>322946.09999999998</v>
      </c>
      <c r="CV159" s="65">
        <v>-21598.080000000002</v>
      </c>
      <c r="CW159" s="65">
        <v>-21598.080000000016</v>
      </c>
      <c r="CX159" s="33">
        <v>-21598.080000000002</v>
      </c>
      <c r="CY159" s="33">
        <v>301348.01999999996</v>
      </c>
      <c r="CZ159" s="66">
        <v>18555.589999999997</v>
      </c>
      <c r="DA159" s="33">
        <v>18555.589999999997</v>
      </c>
      <c r="DB159" s="33">
        <v>0</v>
      </c>
      <c r="DC159" s="33">
        <v>-1399.9600000003702</v>
      </c>
      <c r="DD159" s="65">
        <v>-21598.080000000002</v>
      </c>
      <c r="DF159" s="33">
        <v>0</v>
      </c>
      <c r="DI159" s="33">
        <v>301348.01999999996</v>
      </c>
      <c r="DJ159" s="33">
        <v>0</v>
      </c>
      <c r="DK159" s="65">
        <v>322946.09999999998</v>
      </c>
      <c r="DL159" s="65">
        <v>-21598.080000000002</v>
      </c>
      <c r="DQ159" s="115">
        <v>3302435</v>
      </c>
      <c r="DS159" s="33">
        <v>0</v>
      </c>
      <c r="DT159" s="33">
        <v>2980461.0999999996</v>
      </c>
      <c r="DU159" s="33">
        <v>3134416.1199999996</v>
      </c>
      <c r="DV159" s="33">
        <v>-153955.02000000002</v>
      </c>
      <c r="DW159" s="33">
        <v>48851.67</v>
      </c>
      <c r="DX159" s="33">
        <v>34367.86</v>
      </c>
      <c r="DY159" s="33">
        <v>14483.809999999998</v>
      </c>
    </row>
    <row r="160" spans="2:129" x14ac:dyDescent="0.35">
      <c r="B160" s="87">
        <v>2441</v>
      </c>
      <c r="C160" s="115">
        <v>3302441</v>
      </c>
      <c r="D160" s="116" t="s">
        <v>437</v>
      </c>
      <c r="E160" s="116" t="s">
        <v>438</v>
      </c>
      <c r="F160" s="117"/>
      <c r="G160" s="118"/>
      <c r="H160" s="115"/>
      <c r="I160" s="115"/>
      <c r="J160" s="115"/>
      <c r="K160" s="115"/>
      <c r="L160" s="115"/>
      <c r="M160" s="115"/>
      <c r="N160" s="115"/>
      <c r="O160" s="115"/>
      <c r="P160" s="115"/>
      <c r="Q160" s="115"/>
      <c r="R160" s="115"/>
      <c r="S160" s="119"/>
      <c r="T160" s="119"/>
      <c r="U160" s="119"/>
      <c r="V160" s="119"/>
      <c r="W160" s="119"/>
      <c r="X160" s="119"/>
      <c r="Y160" s="120">
        <v>490734</v>
      </c>
      <c r="Z160" s="120"/>
      <c r="AA160" s="120">
        <v>-4857.1000000000004</v>
      </c>
      <c r="AB160" s="121">
        <v>2024975.18</v>
      </c>
      <c r="AC160" s="121">
        <v>0</v>
      </c>
      <c r="AD160" s="121">
        <v>25200</v>
      </c>
      <c r="AE160" s="121">
        <v>0</v>
      </c>
      <c r="AF160" s="121">
        <v>308461</v>
      </c>
      <c r="AG160" s="121">
        <v>1200</v>
      </c>
      <c r="AH160" s="121">
        <v>1200</v>
      </c>
      <c r="AI160" s="121">
        <v>0</v>
      </c>
      <c r="AJ160" s="121">
        <v>157368.05000000013</v>
      </c>
      <c r="AK160" s="121">
        <v>0</v>
      </c>
      <c r="AL160" s="121">
        <v>0</v>
      </c>
      <c r="AM160" s="121">
        <v>0</v>
      </c>
      <c r="AN160" s="121">
        <v>30416.49</v>
      </c>
      <c r="AO160" s="121">
        <v>0</v>
      </c>
      <c r="AP160" s="121">
        <v>0</v>
      </c>
      <c r="AQ160" s="121">
        <v>0</v>
      </c>
      <c r="AR160" s="121">
        <v>0</v>
      </c>
      <c r="AS160" s="121">
        <v>0</v>
      </c>
      <c r="AT160" s="121">
        <v>0</v>
      </c>
      <c r="AU160" s="121">
        <v>29965.599999999999</v>
      </c>
      <c r="AV160" s="121">
        <v>36698</v>
      </c>
      <c r="AW160" s="121">
        <v>1201035.1299999999</v>
      </c>
      <c r="AX160" s="121">
        <v>0</v>
      </c>
      <c r="AY160" s="121">
        <v>416465.75</v>
      </c>
      <c r="AZ160" s="121">
        <v>49082.76</v>
      </c>
      <c r="BA160" s="121">
        <v>194814.68</v>
      </c>
      <c r="BB160" s="121">
        <v>0</v>
      </c>
      <c r="BC160" s="121">
        <v>160457.43</v>
      </c>
      <c r="BD160" s="121">
        <v>1326.57</v>
      </c>
      <c r="BE160" s="121">
        <v>7514.51</v>
      </c>
      <c r="BF160" s="121">
        <v>0</v>
      </c>
      <c r="BG160" s="121">
        <v>0</v>
      </c>
      <c r="BH160" s="121">
        <v>56454.5</v>
      </c>
      <c r="BI160" s="121">
        <v>3115</v>
      </c>
      <c r="BJ160" s="121">
        <v>3131.62</v>
      </c>
      <c r="BK160" s="121">
        <v>4870.01</v>
      </c>
      <c r="BL160" s="121">
        <v>101641.25</v>
      </c>
      <c r="BM160" s="121">
        <v>0</v>
      </c>
      <c r="BN160" s="121">
        <v>21620.62</v>
      </c>
      <c r="BO160" s="121">
        <v>131321.81</v>
      </c>
      <c r="BP160" s="121">
        <v>1018.99</v>
      </c>
      <c r="BQ160" s="121">
        <v>7433.19</v>
      </c>
      <c r="BR160" s="121">
        <v>109430.03</v>
      </c>
      <c r="BS160" s="121">
        <v>4895</v>
      </c>
      <c r="BT160" s="121">
        <v>0</v>
      </c>
      <c r="BU160" s="121">
        <v>75511.14</v>
      </c>
      <c r="BV160" s="121">
        <v>115134.49</v>
      </c>
      <c r="BW160" s="121">
        <v>0</v>
      </c>
      <c r="BX160" s="121">
        <v>62725.11</v>
      </c>
      <c r="BY160" s="121">
        <v>0</v>
      </c>
      <c r="BZ160" s="121">
        <v>0</v>
      </c>
      <c r="CA160" s="121">
        <v>4857.1000000000004</v>
      </c>
      <c r="CB160" s="121">
        <v>0</v>
      </c>
      <c r="CC160" s="121">
        <v>0</v>
      </c>
      <c r="CD160" s="121">
        <v>8178.25</v>
      </c>
      <c r="CE160" s="121">
        <v>0</v>
      </c>
      <c r="CF160" s="121">
        <v>4857.1000000000004</v>
      </c>
      <c r="CG160" s="121">
        <v>0</v>
      </c>
      <c r="CH160" s="121">
        <v>0</v>
      </c>
      <c r="CI160" s="121">
        <v>8178.25</v>
      </c>
      <c r="CJ160" s="121">
        <v>0</v>
      </c>
      <c r="CK160" s="121">
        <v>0</v>
      </c>
      <c r="CL160" s="121">
        <v>372361.62999999989</v>
      </c>
      <c r="CM160" s="121"/>
      <c r="CN160" s="121">
        <v>0</v>
      </c>
      <c r="CO160" s="121">
        <v>0</v>
      </c>
      <c r="CP160" s="121">
        <v>0</v>
      </c>
      <c r="CQ160" s="121">
        <v>0</v>
      </c>
      <c r="CR160" s="118"/>
      <c r="CS160" s="33">
        <v>372361.62999999989</v>
      </c>
      <c r="CT160" s="33">
        <v>0</v>
      </c>
      <c r="CU160" s="65">
        <v>377218.73</v>
      </c>
      <c r="CV160" s="65">
        <v>-4857.1000000000004</v>
      </c>
      <c r="CW160" s="65">
        <v>-4857.1000000000931</v>
      </c>
      <c r="CX160" s="33">
        <v>-4857.1000000000004</v>
      </c>
      <c r="CY160" s="33">
        <v>372361.63</v>
      </c>
      <c r="CZ160" s="66">
        <v>0</v>
      </c>
      <c r="DA160" s="33">
        <v>0</v>
      </c>
      <c r="DB160" s="33">
        <v>3461.1099999998696</v>
      </c>
      <c r="DC160" s="33">
        <v>0</v>
      </c>
      <c r="DD160" s="65">
        <v>-4857.1000000000004</v>
      </c>
      <c r="DF160" s="33">
        <v>-9.276845958083868E-11</v>
      </c>
      <c r="DI160" s="33">
        <v>372361.62999999989</v>
      </c>
      <c r="DJ160" s="33">
        <v>0</v>
      </c>
      <c r="DK160" s="65">
        <v>377218.73</v>
      </c>
      <c r="DL160" s="65">
        <v>-4857.1000000000004</v>
      </c>
      <c r="DQ160" s="115">
        <v>3302441</v>
      </c>
      <c r="DS160" s="33">
        <v>0</v>
      </c>
      <c r="DT160" s="33">
        <v>2615484.3200000003</v>
      </c>
      <c r="DU160" s="33">
        <v>2733856.6900000004</v>
      </c>
      <c r="DV160" s="33">
        <v>-118372.37000000011</v>
      </c>
      <c r="DW160" s="33">
        <v>13035.35</v>
      </c>
      <c r="DX160" s="33">
        <v>8178.25</v>
      </c>
      <c r="DY160" s="33">
        <v>4857.1000000000004</v>
      </c>
    </row>
    <row r="161" spans="2:129" x14ac:dyDescent="0.35">
      <c r="B161" s="87">
        <v>2464</v>
      </c>
      <c r="C161" s="115">
        <v>3302464</v>
      </c>
      <c r="D161" s="116" t="s">
        <v>439</v>
      </c>
      <c r="E161" s="116" t="s">
        <v>440</v>
      </c>
      <c r="F161" s="117"/>
      <c r="G161" s="118"/>
      <c r="H161" s="115"/>
      <c r="I161" s="115"/>
      <c r="J161" s="115"/>
      <c r="K161" s="115"/>
      <c r="L161" s="115"/>
      <c r="M161" s="115"/>
      <c r="N161" s="115"/>
      <c r="O161" s="115"/>
      <c r="P161" s="115"/>
      <c r="Q161" s="115"/>
      <c r="R161" s="115"/>
      <c r="S161" s="119"/>
      <c r="T161" s="119"/>
      <c r="U161" s="119"/>
      <c r="V161" s="119"/>
      <c r="W161" s="119"/>
      <c r="X161" s="119"/>
      <c r="Y161" s="120"/>
      <c r="Z161" s="120">
        <v>-240626.4</v>
      </c>
      <c r="AA161" s="120">
        <v>-359.46</v>
      </c>
      <c r="AB161" s="121">
        <v>1887104.24</v>
      </c>
      <c r="AC161" s="121">
        <v>0</v>
      </c>
      <c r="AD161" s="121">
        <v>26435</v>
      </c>
      <c r="AE161" s="121">
        <v>0</v>
      </c>
      <c r="AF161" s="121">
        <v>42511</v>
      </c>
      <c r="AG161" s="121">
        <v>3113.86</v>
      </c>
      <c r="AH161" s="121">
        <v>0</v>
      </c>
      <c r="AI161" s="121">
        <v>0</v>
      </c>
      <c r="AJ161" s="121">
        <v>328384.94</v>
      </c>
      <c r="AK161" s="121">
        <v>0</v>
      </c>
      <c r="AL161" s="121">
        <v>0</v>
      </c>
      <c r="AM161" s="121">
        <v>0</v>
      </c>
      <c r="AN161" s="121">
        <v>106413.53</v>
      </c>
      <c r="AO161" s="121">
        <v>0</v>
      </c>
      <c r="AP161" s="121">
        <v>0</v>
      </c>
      <c r="AQ161" s="121">
        <v>0</v>
      </c>
      <c r="AR161" s="121">
        <v>0</v>
      </c>
      <c r="AS161" s="121">
        <v>0</v>
      </c>
      <c r="AT161" s="121">
        <v>0</v>
      </c>
      <c r="AU161" s="121">
        <v>6761.26</v>
      </c>
      <c r="AV161" s="121">
        <v>88762</v>
      </c>
      <c r="AW161" s="121">
        <v>1261663.1200000001</v>
      </c>
      <c r="AX161" s="121">
        <v>0</v>
      </c>
      <c r="AY161" s="121">
        <v>341178.91</v>
      </c>
      <c r="AZ161" s="121">
        <v>43195.76</v>
      </c>
      <c r="BA161" s="121">
        <v>191109.39</v>
      </c>
      <c r="BB161" s="121">
        <v>6435.33</v>
      </c>
      <c r="BC161" s="121">
        <v>46475.64</v>
      </c>
      <c r="BD161" s="121">
        <v>7759.18</v>
      </c>
      <c r="BE161" s="121">
        <v>0</v>
      </c>
      <c r="BF161" s="121">
        <v>0</v>
      </c>
      <c r="BG161" s="121">
        <v>0</v>
      </c>
      <c r="BH161" s="121">
        <v>15593.4</v>
      </c>
      <c r="BI161" s="121">
        <v>2216.04</v>
      </c>
      <c r="BJ161" s="121">
        <v>11849.29</v>
      </c>
      <c r="BK161" s="121">
        <v>16134.5</v>
      </c>
      <c r="BL161" s="121">
        <v>98922.08</v>
      </c>
      <c r="BM161" s="121">
        <v>0</v>
      </c>
      <c r="BN161" s="121">
        <v>0</v>
      </c>
      <c r="BO161" s="121">
        <v>120222.36999999946</v>
      </c>
      <c r="BP161" s="121">
        <v>0</v>
      </c>
      <c r="BQ161" s="121">
        <v>418.45</v>
      </c>
      <c r="BR161" s="121">
        <v>58733.65</v>
      </c>
      <c r="BS161" s="121">
        <v>9020</v>
      </c>
      <c r="BT161" s="121">
        <v>500</v>
      </c>
      <c r="BU161" s="121">
        <v>165775.44</v>
      </c>
      <c r="BV161" s="121">
        <v>37943</v>
      </c>
      <c r="BW161" s="121">
        <v>980</v>
      </c>
      <c r="BX161" s="121">
        <v>186030.19</v>
      </c>
      <c r="BY161" s="121">
        <v>0</v>
      </c>
      <c r="BZ161" s="121">
        <v>0</v>
      </c>
      <c r="CA161" s="121">
        <v>0</v>
      </c>
      <c r="CB161" s="121">
        <v>0</v>
      </c>
      <c r="CC161" s="121">
        <v>0</v>
      </c>
      <c r="CD161" s="121">
        <v>8747.5</v>
      </c>
      <c r="CE161" s="121">
        <v>18445.259999999998</v>
      </c>
      <c r="CF161" s="121">
        <v>0</v>
      </c>
      <c r="CG161" s="121">
        <v>0</v>
      </c>
      <c r="CH161" s="121">
        <v>0</v>
      </c>
      <c r="CI161" s="121">
        <v>0</v>
      </c>
      <c r="CJ161" s="121">
        <v>15984.92</v>
      </c>
      <c r="CK161" s="121"/>
      <c r="CL161" s="121">
        <v>-373296.31000000017</v>
      </c>
      <c r="CM161" s="121"/>
      <c r="CN161" s="121">
        <v>10848.38</v>
      </c>
      <c r="CO161" s="121">
        <v>0</v>
      </c>
      <c r="CP161" s="121">
        <v>0</v>
      </c>
      <c r="CQ161" s="121">
        <v>0</v>
      </c>
      <c r="CR161" s="118"/>
      <c r="CS161" s="33">
        <v>-373296.31000000017</v>
      </c>
      <c r="CT161" s="33">
        <v>10848.38</v>
      </c>
      <c r="CU161" s="65">
        <v>-373296.31</v>
      </c>
      <c r="CV161" s="65">
        <v>10848.38</v>
      </c>
      <c r="CW161" s="65">
        <v>0</v>
      </c>
      <c r="CX161" s="33">
        <v>0</v>
      </c>
      <c r="CY161" s="33">
        <v>-362447.93</v>
      </c>
      <c r="CZ161" s="66">
        <v>18445.259999999998</v>
      </c>
      <c r="DA161" s="33">
        <v>18445.259999999998</v>
      </c>
      <c r="DB161" s="33">
        <v>0</v>
      </c>
      <c r="DC161" s="33">
        <v>-0.40000000054715201</v>
      </c>
      <c r="DF161" s="33">
        <v>-1.6916601452976465E-10</v>
      </c>
      <c r="DI161" s="33">
        <v>-373296.31000000017</v>
      </c>
      <c r="DJ161" s="33">
        <v>10848.38</v>
      </c>
      <c r="DK161" s="65">
        <v>-373296.31</v>
      </c>
      <c r="DL161" s="65">
        <v>10848.38</v>
      </c>
      <c r="DQ161" s="115">
        <v>3302464</v>
      </c>
      <c r="DS161" s="33">
        <v>0</v>
      </c>
      <c r="DT161" s="33">
        <v>2489485.8299999996</v>
      </c>
      <c r="DU161" s="33">
        <v>2622155.7399999998</v>
      </c>
      <c r="DV161" s="33">
        <v>-132669.91000000015</v>
      </c>
      <c r="DW161" s="33">
        <v>27192.76</v>
      </c>
      <c r="DX161" s="33">
        <v>15984.92</v>
      </c>
      <c r="DY161" s="33">
        <v>11207.839999999998</v>
      </c>
    </row>
    <row r="162" spans="2:129" x14ac:dyDescent="0.35">
      <c r="B162" s="87">
        <v>2465</v>
      </c>
      <c r="C162" s="115">
        <v>3302465</v>
      </c>
      <c r="D162" s="116" t="s">
        <v>441</v>
      </c>
      <c r="E162" s="116" t="s">
        <v>442</v>
      </c>
      <c r="F162" s="117"/>
      <c r="G162" s="118"/>
      <c r="H162" s="115"/>
      <c r="I162" s="115"/>
      <c r="J162" s="115"/>
      <c r="K162" s="115"/>
      <c r="L162" s="115"/>
      <c r="M162" s="115"/>
      <c r="N162" s="115"/>
      <c r="O162" s="115"/>
      <c r="P162" s="115"/>
      <c r="Q162" s="115"/>
      <c r="R162" s="115"/>
      <c r="S162" s="119"/>
      <c r="T162" s="119"/>
      <c r="U162" s="119"/>
      <c r="V162" s="119"/>
      <c r="W162" s="119"/>
      <c r="X162" s="119"/>
      <c r="Y162" s="120">
        <v>92421.92</v>
      </c>
      <c r="Z162" s="120"/>
      <c r="AA162" s="120">
        <v>3194.13</v>
      </c>
      <c r="AB162" s="121">
        <v>2506086.9700000002</v>
      </c>
      <c r="AC162" s="121">
        <v>0</v>
      </c>
      <c r="AD162" s="121">
        <v>57317.01</v>
      </c>
      <c r="AE162" s="121">
        <v>0</v>
      </c>
      <c r="AF162" s="121">
        <v>175296.5</v>
      </c>
      <c r="AG162" s="121">
        <v>1200</v>
      </c>
      <c r="AH162" s="121">
        <v>0</v>
      </c>
      <c r="AI162" s="121">
        <v>0</v>
      </c>
      <c r="AJ162" s="121">
        <v>110.52</v>
      </c>
      <c r="AK162" s="121">
        <v>0</v>
      </c>
      <c r="AL162" s="121">
        <v>0</v>
      </c>
      <c r="AM162" s="121">
        <v>0</v>
      </c>
      <c r="AN162" s="121">
        <v>16630.04</v>
      </c>
      <c r="AO162" s="121">
        <v>65821.990000000005</v>
      </c>
      <c r="AP162" s="121">
        <v>0</v>
      </c>
      <c r="AQ162" s="121">
        <v>0</v>
      </c>
      <c r="AR162" s="121">
        <v>0</v>
      </c>
      <c r="AS162" s="121">
        <v>0</v>
      </c>
      <c r="AT162" s="121">
        <v>0</v>
      </c>
      <c r="AU162" s="121">
        <v>27245</v>
      </c>
      <c r="AV162" s="121">
        <v>80609</v>
      </c>
      <c r="AW162" s="121">
        <v>1275531.31</v>
      </c>
      <c r="AX162" s="121">
        <v>0</v>
      </c>
      <c r="AY162" s="121">
        <v>400420.42</v>
      </c>
      <c r="AZ162" s="121">
        <v>0</v>
      </c>
      <c r="BA162" s="121">
        <v>109658.01</v>
      </c>
      <c r="BB162" s="121">
        <v>0</v>
      </c>
      <c r="BC162" s="121">
        <v>119176.09</v>
      </c>
      <c r="BD162" s="121">
        <v>0</v>
      </c>
      <c r="BE162" s="121">
        <v>2290.71</v>
      </c>
      <c r="BF162" s="121">
        <v>0</v>
      </c>
      <c r="BG162" s="121">
        <v>0</v>
      </c>
      <c r="BH162" s="121">
        <v>604822.11</v>
      </c>
      <c r="BI162" s="121">
        <v>0</v>
      </c>
      <c r="BJ162" s="121">
        <v>0</v>
      </c>
      <c r="BK162" s="121">
        <v>1006.09</v>
      </c>
      <c r="BL162" s="121">
        <v>69209.679999999993</v>
      </c>
      <c r="BM162" s="121">
        <v>0</v>
      </c>
      <c r="BN162" s="121">
        <v>0</v>
      </c>
      <c r="BO162" s="121">
        <v>48886.440000000723</v>
      </c>
      <c r="BP162" s="121">
        <v>24255.96</v>
      </c>
      <c r="BQ162" s="121">
        <v>0</v>
      </c>
      <c r="BR162" s="121">
        <v>15441</v>
      </c>
      <c r="BS162" s="121">
        <v>9020</v>
      </c>
      <c r="BT162" s="121">
        <v>2411.1999999999998</v>
      </c>
      <c r="BU162" s="121">
        <v>75058.759999999995</v>
      </c>
      <c r="BV162" s="121">
        <v>45025.36</v>
      </c>
      <c r="BW162" s="121">
        <v>0</v>
      </c>
      <c r="BX162" s="121">
        <v>34329.230000000003</v>
      </c>
      <c r="BY162" s="121">
        <v>0</v>
      </c>
      <c r="BZ162" s="121">
        <v>0</v>
      </c>
      <c r="CA162" s="121">
        <v>0</v>
      </c>
      <c r="CB162" s="121">
        <v>0</v>
      </c>
      <c r="CC162" s="121">
        <v>0</v>
      </c>
      <c r="CD162" s="121">
        <v>8974.75</v>
      </c>
      <c r="CE162" s="121">
        <v>18786.28</v>
      </c>
      <c r="CF162" s="121">
        <v>0</v>
      </c>
      <c r="CG162" s="121">
        <v>0</v>
      </c>
      <c r="CH162" s="121">
        <v>0</v>
      </c>
      <c r="CI162" s="121">
        <v>0</v>
      </c>
      <c r="CJ162" s="121">
        <v>3966.47</v>
      </c>
      <c r="CK162" s="121"/>
      <c r="CL162" s="121">
        <v>186196.57999999967</v>
      </c>
      <c r="CM162" s="121"/>
      <c r="CN162" s="121">
        <v>26988.69</v>
      </c>
      <c r="CO162" s="121">
        <v>0</v>
      </c>
      <c r="CP162" s="121">
        <v>0</v>
      </c>
      <c r="CQ162" s="121">
        <v>0</v>
      </c>
      <c r="CR162" s="118"/>
      <c r="CS162" s="33">
        <v>186196.57999999967</v>
      </c>
      <c r="CT162" s="33">
        <v>26988.69</v>
      </c>
      <c r="CU162" s="65">
        <v>186196.58</v>
      </c>
      <c r="CV162" s="65">
        <v>26988.69</v>
      </c>
      <c r="CW162" s="65">
        <v>-3.2014213502407074E-10</v>
      </c>
      <c r="CX162" s="33">
        <v>0</v>
      </c>
      <c r="CY162" s="33">
        <v>213185.27</v>
      </c>
      <c r="CZ162" s="66">
        <v>18786.28</v>
      </c>
      <c r="DA162" s="33">
        <v>18786.28</v>
      </c>
      <c r="DB162" s="33">
        <v>0</v>
      </c>
      <c r="DC162" s="33">
        <v>-11705.879999999277</v>
      </c>
      <c r="DF162" s="33">
        <v>-3.1650415621697903E-10</v>
      </c>
      <c r="DI162" s="33">
        <v>186196.57999999967</v>
      </c>
      <c r="DJ162" s="33">
        <v>26988.69</v>
      </c>
      <c r="DK162" s="65">
        <v>186196.58</v>
      </c>
      <c r="DL162" s="65">
        <v>26988.69</v>
      </c>
      <c r="DQ162" s="115">
        <v>3302465</v>
      </c>
      <c r="DS162" s="33">
        <v>0</v>
      </c>
      <c r="DT162" s="33">
        <v>2930317.0300000003</v>
      </c>
      <c r="DU162" s="33">
        <v>2836542.3700000006</v>
      </c>
      <c r="DV162" s="33">
        <v>93774.659999999683</v>
      </c>
      <c r="DW162" s="33">
        <v>27761.03</v>
      </c>
      <c r="DX162" s="33">
        <v>3966.47</v>
      </c>
      <c r="DY162" s="33">
        <v>23794.559999999998</v>
      </c>
    </row>
    <row r="163" spans="2:129" x14ac:dyDescent="0.35">
      <c r="B163" s="87">
        <v>2469</v>
      </c>
      <c r="C163" s="115">
        <v>3302469</v>
      </c>
      <c r="D163" s="116" t="s">
        <v>443</v>
      </c>
      <c r="E163" s="116" t="s">
        <v>444</v>
      </c>
      <c r="F163" s="117"/>
      <c r="G163" s="118"/>
      <c r="H163" s="115"/>
      <c r="I163" s="115"/>
      <c r="J163" s="115"/>
      <c r="K163" s="115"/>
      <c r="L163" s="115"/>
      <c r="M163" s="115"/>
      <c r="N163" s="115"/>
      <c r="O163" s="115"/>
      <c r="P163" s="115"/>
      <c r="Q163" s="115"/>
      <c r="R163" s="115"/>
      <c r="S163" s="119"/>
      <c r="T163" s="119"/>
      <c r="U163" s="119"/>
      <c r="V163" s="119"/>
      <c r="W163" s="119"/>
      <c r="X163" s="119"/>
      <c r="Y163" s="120">
        <v>559861.16</v>
      </c>
      <c r="Z163" s="120"/>
      <c r="AA163" s="120">
        <v>-13408.41</v>
      </c>
      <c r="AB163" s="121">
        <v>1701288.11</v>
      </c>
      <c r="AC163" s="121">
        <v>0</v>
      </c>
      <c r="AD163" s="121">
        <v>52786.25</v>
      </c>
      <c r="AE163" s="121">
        <v>0</v>
      </c>
      <c r="AF163" s="121">
        <v>205045.5</v>
      </c>
      <c r="AG163" s="121">
        <v>3656.93</v>
      </c>
      <c r="AH163" s="121">
        <v>0</v>
      </c>
      <c r="AI163" s="121">
        <v>0</v>
      </c>
      <c r="AJ163" s="121">
        <v>209110.52</v>
      </c>
      <c r="AK163" s="121">
        <v>0</v>
      </c>
      <c r="AL163" s="121">
        <v>0</v>
      </c>
      <c r="AM163" s="121">
        <v>0</v>
      </c>
      <c r="AN163" s="121">
        <v>39219.17</v>
      </c>
      <c r="AO163" s="121">
        <v>116.5</v>
      </c>
      <c r="AP163" s="121">
        <v>0</v>
      </c>
      <c r="AQ163" s="121">
        <v>0</v>
      </c>
      <c r="AR163" s="121">
        <v>0</v>
      </c>
      <c r="AS163" s="121">
        <v>0</v>
      </c>
      <c r="AT163" s="121">
        <v>0</v>
      </c>
      <c r="AU163" s="121">
        <v>21885.88</v>
      </c>
      <c r="AV163" s="121">
        <v>56506</v>
      </c>
      <c r="AW163" s="121">
        <v>1115971.82</v>
      </c>
      <c r="AX163" s="121">
        <v>0</v>
      </c>
      <c r="AY163" s="121">
        <v>264662.12</v>
      </c>
      <c r="AZ163" s="121">
        <v>70338.039999999994</v>
      </c>
      <c r="BA163" s="121">
        <v>275756.95</v>
      </c>
      <c r="BB163" s="121">
        <v>47639.06</v>
      </c>
      <c r="BC163" s="121">
        <v>69231.199999999997</v>
      </c>
      <c r="BD163" s="121">
        <v>77.88</v>
      </c>
      <c r="BE163" s="121">
        <v>28373</v>
      </c>
      <c r="BF163" s="121">
        <v>0</v>
      </c>
      <c r="BG163" s="121">
        <v>0</v>
      </c>
      <c r="BH163" s="121">
        <v>5506.17</v>
      </c>
      <c r="BI163" s="121">
        <v>8582.16</v>
      </c>
      <c r="BJ163" s="121">
        <v>3666.88</v>
      </c>
      <c r="BK163" s="121">
        <v>14117.33</v>
      </c>
      <c r="BL163" s="121">
        <v>122080.25</v>
      </c>
      <c r="BM163" s="121">
        <v>0</v>
      </c>
      <c r="BN163" s="121">
        <v>6418.59</v>
      </c>
      <c r="BO163" s="121">
        <v>70521.619999999908</v>
      </c>
      <c r="BP163" s="121">
        <v>1267.96</v>
      </c>
      <c r="BQ163" s="121">
        <v>0</v>
      </c>
      <c r="BR163" s="121">
        <v>36055.39</v>
      </c>
      <c r="BS163" s="121">
        <v>4895</v>
      </c>
      <c r="BT163" s="121">
        <v>0</v>
      </c>
      <c r="BU163" s="121">
        <v>37941.35</v>
      </c>
      <c r="BV163" s="121">
        <v>59064.98</v>
      </c>
      <c r="BW163" s="121">
        <v>10339.39</v>
      </c>
      <c r="BX163" s="121">
        <v>141269.09</v>
      </c>
      <c r="BY163" s="121">
        <v>0</v>
      </c>
      <c r="BZ163" s="121">
        <v>0</v>
      </c>
      <c r="CA163" s="121">
        <v>42513.2</v>
      </c>
      <c r="CB163" s="121">
        <v>0</v>
      </c>
      <c r="CC163" s="121">
        <v>0</v>
      </c>
      <c r="CD163" s="121">
        <v>7723.75</v>
      </c>
      <c r="CE163" s="121">
        <v>0</v>
      </c>
      <c r="CF163" s="121">
        <v>42513.2</v>
      </c>
      <c r="CG163" s="121">
        <v>0</v>
      </c>
      <c r="CH163" s="121">
        <v>0</v>
      </c>
      <c r="CI163" s="121">
        <v>7723.75</v>
      </c>
      <c r="CJ163" s="121">
        <v>29104.79</v>
      </c>
      <c r="CK163" s="121">
        <v>0</v>
      </c>
      <c r="CL163" s="121">
        <v>413186.58999999973</v>
      </c>
      <c r="CM163" s="121"/>
      <c r="CN163" s="121">
        <v>0</v>
      </c>
      <c r="CO163" s="121">
        <v>0</v>
      </c>
      <c r="CP163" s="121">
        <v>0</v>
      </c>
      <c r="CQ163" s="121">
        <v>0</v>
      </c>
      <c r="CR163" s="118"/>
      <c r="CS163" s="33">
        <v>413186.58999999973</v>
      </c>
      <c r="CT163" s="33">
        <v>0</v>
      </c>
      <c r="CU163" s="65">
        <v>455699.79</v>
      </c>
      <c r="CV163" s="65">
        <v>-42513.2</v>
      </c>
      <c r="CW163" s="65">
        <v>-42513.200000000244</v>
      </c>
      <c r="CX163" s="33">
        <v>-42513.2</v>
      </c>
      <c r="CY163" s="33">
        <v>413186.58999999997</v>
      </c>
      <c r="CZ163" s="66">
        <v>0</v>
      </c>
      <c r="DA163" s="33">
        <v>0</v>
      </c>
      <c r="DB163" s="33">
        <v>0</v>
      </c>
      <c r="DC163" s="33">
        <v>-4.0000000095460564E-2</v>
      </c>
      <c r="DD163" s="65">
        <v>-42513.2</v>
      </c>
      <c r="DF163" s="33">
        <v>-2.4738255888223648E-10</v>
      </c>
      <c r="DI163" s="33">
        <v>413186.58999999973</v>
      </c>
      <c r="DJ163" s="33">
        <v>0</v>
      </c>
      <c r="DK163" s="65">
        <v>455699.79</v>
      </c>
      <c r="DL163" s="65">
        <v>-42513.2</v>
      </c>
      <c r="DQ163" s="115">
        <v>3302469</v>
      </c>
      <c r="DS163" s="33">
        <v>0</v>
      </c>
      <c r="DT163" s="33">
        <v>2289614.86</v>
      </c>
      <c r="DU163" s="33">
        <v>2436289.4300000002</v>
      </c>
      <c r="DV163" s="33">
        <v>-146674.5700000003</v>
      </c>
      <c r="DW163" s="33">
        <v>50236.95</v>
      </c>
      <c r="DX163" s="33">
        <v>36828.54</v>
      </c>
      <c r="DY163" s="33">
        <v>13408.409999999996</v>
      </c>
    </row>
    <row r="164" spans="2:129" x14ac:dyDescent="0.35">
      <c r="B164" s="87">
        <v>2478</v>
      </c>
      <c r="C164" s="115">
        <v>3302478</v>
      </c>
      <c r="D164" s="116" t="s">
        <v>445</v>
      </c>
      <c r="E164" s="116" t="s">
        <v>446</v>
      </c>
      <c r="F164" s="117"/>
      <c r="G164" s="118"/>
      <c r="H164" s="115"/>
      <c r="I164" s="115"/>
      <c r="J164" s="115"/>
      <c r="K164" s="115"/>
      <c r="L164" s="115"/>
      <c r="M164" s="115"/>
      <c r="N164" s="115"/>
      <c r="O164" s="115"/>
      <c r="P164" s="115"/>
      <c r="Q164" s="115"/>
      <c r="R164" s="115"/>
      <c r="S164" s="119"/>
      <c r="T164" s="119"/>
      <c r="U164" s="119"/>
      <c r="V164" s="119"/>
      <c r="W164" s="119"/>
      <c r="X164" s="119"/>
      <c r="Y164" s="120">
        <v>289749.61</v>
      </c>
      <c r="Z164" s="120"/>
      <c r="AA164" s="120">
        <v>-16392.88</v>
      </c>
      <c r="AB164" s="121">
        <v>2084610.6</v>
      </c>
      <c r="AC164" s="121">
        <v>0</v>
      </c>
      <c r="AD164" s="121">
        <v>38497</v>
      </c>
      <c r="AE164" s="121">
        <v>0</v>
      </c>
      <c r="AF164" s="121">
        <v>51620</v>
      </c>
      <c r="AG164" s="121">
        <v>6713.86</v>
      </c>
      <c r="AH164" s="121">
        <v>0</v>
      </c>
      <c r="AI164" s="121">
        <v>0</v>
      </c>
      <c r="AJ164" s="121">
        <v>166107.03</v>
      </c>
      <c r="AK164" s="121">
        <v>0</v>
      </c>
      <c r="AL164" s="121">
        <v>0</v>
      </c>
      <c r="AM164" s="121">
        <v>0</v>
      </c>
      <c r="AN164" s="121">
        <v>24515</v>
      </c>
      <c r="AO164" s="121">
        <v>0</v>
      </c>
      <c r="AP164" s="121">
        <v>0</v>
      </c>
      <c r="AQ164" s="121">
        <v>0</v>
      </c>
      <c r="AR164" s="121">
        <v>0</v>
      </c>
      <c r="AS164" s="121">
        <v>0</v>
      </c>
      <c r="AT164" s="121">
        <v>0</v>
      </c>
      <c r="AU164" s="121">
        <v>3087.26</v>
      </c>
      <c r="AV164" s="121">
        <v>101540</v>
      </c>
      <c r="AW164" s="121">
        <v>1156550.33</v>
      </c>
      <c r="AX164" s="121">
        <v>12403</v>
      </c>
      <c r="AY164" s="121">
        <v>303234.75</v>
      </c>
      <c r="AZ164" s="121">
        <v>53306.81</v>
      </c>
      <c r="BA164" s="121">
        <v>187196.25</v>
      </c>
      <c r="BB164" s="121">
        <v>0</v>
      </c>
      <c r="BC164" s="121">
        <v>76311.98</v>
      </c>
      <c r="BD164" s="121">
        <v>100.48</v>
      </c>
      <c r="BE164" s="121">
        <v>11043.92</v>
      </c>
      <c r="BF164" s="121">
        <v>0</v>
      </c>
      <c r="BG164" s="121">
        <v>0</v>
      </c>
      <c r="BH164" s="121">
        <v>5758.52</v>
      </c>
      <c r="BI164" s="121">
        <v>13346.19</v>
      </c>
      <c r="BJ164" s="121">
        <v>48156.54</v>
      </c>
      <c r="BK164" s="121">
        <v>28158.01</v>
      </c>
      <c r="BL164" s="121">
        <v>86554.83</v>
      </c>
      <c r="BM164" s="121">
        <v>0</v>
      </c>
      <c r="BN164" s="121">
        <v>12227.11</v>
      </c>
      <c r="BO164" s="121">
        <v>49900.289999999797</v>
      </c>
      <c r="BP164" s="121">
        <v>13912.16</v>
      </c>
      <c r="BQ164" s="121">
        <v>0</v>
      </c>
      <c r="BR164" s="121">
        <v>51762.09</v>
      </c>
      <c r="BS164" s="121">
        <v>8684</v>
      </c>
      <c r="BT164" s="121">
        <v>0</v>
      </c>
      <c r="BU164" s="121">
        <v>144356.04999999999</v>
      </c>
      <c r="BV164" s="121">
        <v>118191.3</v>
      </c>
      <c r="BW164" s="121">
        <v>240</v>
      </c>
      <c r="BX164" s="121">
        <v>79271</v>
      </c>
      <c r="BY164" s="121">
        <v>0</v>
      </c>
      <c r="BZ164" s="121">
        <v>0</v>
      </c>
      <c r="CA164" s="121">
        <v>0</v>
      </c>
      <c r="CB164" s="121">
        <v>0</v>
      </c>
      <c r="CC164" s="121">
        <v>0</v>
      </c>
      <c r="CD164" s="121">
        <v>9103</v>
      </c>
      <c r="CE164" s="121">
        <v>19031.010000000002</v>
      </c>
      <c r="CF164" s="121">
        <v>0</v>
      </c>
      <c r="CG164" s="121">
        <v>0</v>
      </c>
      <c r="CH164" s="121">
        <v>0</v>
      </c>
      <c r="CI164" s="121">
        <v>0</v>
      </c>
      <c r="CJ164" s="121">
        <v>7485.17</v>
      </c>
      <c r="CK164" s="121"/>
      <c r="CL164" s="121">
        <v>305774.75000000012</v>
      </c>
      <c r="CM164" s="121"/>
      <c r="CN164" s="121">
        <v>4255.9600000000028</v>
      </c>
      <c r="CO164" s="121">
        <v>0</v>
      </c>
      <c r="CP164" s="121">
        <v>0</v>
      </c>
      <c r="CQ164" s="121">
        <v>0</v>
      </c>
      <c r="CR164" s="118"/>
      <c r="CS164" s="33">
        <v>305774.75000000012</v>
      </c>
      <c r="CT164" s="33">
        <v>4255.9600000000028</v>
      </c>
      <c r="CU164" s="65">
        <v>305774.75</v>
      </c>
      <c r="CV164" s="65">
        <v>4255.96</v>
      </c>
      <c r="CW164" s="65">
        <v>0</v>
      </c>
      <c r="CX164" s="33">
        <v>0</v>
      </c>
      <c r="CY164" s="33">
        <v>310030.71000000002</v>
      </c>
      <c r="CZ164" s="66">
        <v>19031.010000000002</v>
      </c>
      <c r="DA164" s="33">
        <v>19031.010000000002</v>
      </c>
      <c r="DB164" s="33">
        <v>0</v>
      </c>
      <c r="DC164" s="33">
        <v>-2283.0900000002002</v>
      </c>
      <c r="DF164" s="33">
        <v>1.3733369996771216E-10</v>
      </c>
      <c r="DI164" s="33">
        <v>305774.75000000012</v>
      </c>
      <c r="DJ164" s="33">
        <v>4255.9600000000028</v>
      </c>
      <c r="DK164" s="65">
        <v>305774.75</v>
      </c>
      <c r="DL164" s="65">
        <v>4255.96</v>
      </c>
      <c r="DQ164" s="115">
        <v>3302478</v>
      </c>
      <c r="DS164" s="33">
        <v>0</v>
      </c>
      <c r="DT164" s="33">
        <v>2476690.7499999995</v>
      </c>
      <c r="DU164" s="33">
        <v>2460665.6099999994</v>
      </c>
      <c r="DV164" s="33">
        <v>16025.14000000013</v>
      </c>
      <c r="DW164" s="33">
        <v>28134.010000000002</v>
      </c>
      <c r="DX164" s="33">
        <v>7485.17</v>
      </c>
      <c r="DY164" s="33">
        <v>20648.840000000004</v>
      </c>
    </row>
    <row r="165" spans="2:129" x14ac:dyDescent="0.35">
      <c r="B165" s="87">
        <v>2479</v>
      </c>
      <c r="C165" s="115">
        <v>3302479</v>
      </c>
      <c r="D165" s="116" t="s">
        <v>447</v>
      </c>
      <c r="E165" s="116" t="s">
        <v>448</v>
      </c>
      <c r="F165" s="117"/>
      <c r="G165" s="118"/>
      <c r="H165" s="115"/>
      <c r="I165" s="115"/>
      <c r="J165" s="115"/>
      <c r="K165" s="115"/>
      <c r="L165" s="115"/>
      <c r="M165" s="115"/>
      <c r="N165" s="115"/>
      <c r="O165" s="115"/>
      <c r="P165" s="115"/>
      <c r="Q165" s="115"/>
      <c r="R165" s="115"/>
      <c r="S165" s="119"/>
      <c r="T165" s="119"/>
      <c r="U165" s="119"/>
      <c r="V165" s="119"/>
      <c r="W165" s="119"/>
      <c r="X165" s="119"/>
      <c r="Y165" s="120">
        <v>791690.8</v>
      </c>
      <c r="Z165" s="120"/>
      <c r="AA165" s="120">
        <v>-2254.19</v>
      </c>
      <c r="AB165" s="121">
        <v>3911187.36</v>
      </c>
      <c r="AC165" s="121">
        <v>0</v>
      </c>
      <c r="AD165" s="121">
        <v>292449.90000000002</v>
      </c>
      <c r="AE165" s="121">
        <v>0</v>
      </c>
      <c r="AF165" s="121">
        <v>427770.5</v>
      </c>
      <c r="AG165" s="121">
        <v>10113.86</v>
      </c>
      <c r="AH165" s="121">
        <v>0</v>
      </c>
      <c r="AI165" s="121">
        <v>0</v>
      </c>
      <c r="AJ165" s="121">
        <v>0</v>
      </c>
      <c r="AK165" s="121">
        <v>0</v>
      </c>
      <c r="AL165" s="121">
        <v>0</v>
      </c>
      <c r="AM165" s="121">
        <v>0</v>
      </c>
      <c r="AN165" s="121">
        <v>1877.16</v>
      </c>
      <c r="AO165" s="121">
        <v>0</v>
      </c>
      <c r="AP165" s="121">
        <v>0</v>
      </c>
      <c r="AQ165" s="121">
        <v>0</v>
      </c>
      <c r="AR165" s="121">
        <v>0</v>
      </c>
      <c r="AS165" s="121">
        <v>0</v>
      </c>
      <c r="AT165" s="121">
        <v>0</v>
      </c>
      <c r="AU165" s="121">
        <v>29782.12</v>
      </c>
      <c r="AV165" s="121">
        <v>87377</v>
      </c>
      <c r="AW165" s="121">
        <v>2001054.08</v>
      </c>
      <c r="AX165" s="121">
        <v>0</v>
      </c>
      <c r="AY165" s="121">
        <v>826176.72</v>
      </c>
      <c r="AZ165" s="121">
        <v>38241.68</v>
      </c>
      <c r="BA165" s="121">
        <v>449071.11</v>
      </c>
      <c r="BB165" s="121">
        <v>0</v>
      </c>
      <c r="BC165" s="121">
        <v>188045.5</v>
      </c>
      <c r="BD165" s="121">
        <v>257.64999999999998</v>
      </c>
      <c r="BE165" s="121">
        <v>10083.74</v>
      </c>
      <c r="BF165" s="121">
        <v>0</v>
      </c>
      <c r="BG165" s="121">
        <v>0</v>
      </c>
      <c r="BH165" s="121">
        <v>40353.67</v>
      </c>
      <c r="BI165" s="121">
        <v>2296</v>
      </c>
      <c r="BJ165" s="121">
        <v>69403.7</v>
      </c>
      <c r="BK165" s="121">
        <v>26755.53</v>
      </c>
      <c r="BL165" s="121">
        <v>159105.29</v>
      </c>
      <c r="BM165" s="121">
        <v>4446.6899999999996</v>
      </c>
      <c r="BN165" s="121">
        <v>12271.84</v>
      </c>
      <c r="BO165" s="121">
        <v>266523.06000000041</v>
      </c>
      <c r="BP165" s="121">
        <v>29871.439999999999</v>
      </c>
      <c r="BQ165" s="121">
        <v>51560.15</v>
      </c>
      <c r="BR165" s="121">
        <v>41004.43</v>
      </c>
      <c r="BS165" s="121">
        <v>21649.33</v>
      </c>
      <c r="BT165" s="121">
        <v>10220.4</v>
      </c>
      <c r="BU165" s="121">
        <v>317632.78999999998</v>
      </c>
      <c r="BV165" s="121">
        <v>170332.17</v>
      </c>
      <c r="BW165" s="121">
        <v>1620</v>
      </c>
      <c r="BX165" s="121">
        <v>351347.14</v>
      </c>
      <c r="BY165" s="121">
        <v>0</v>
      </c>
      <c r="BZ165" s="121">
        <v>0</v>
      </c>
      <c r="CA165" s="121">
        <v>0</v>
      </c>
      <c r="CB165" s="121">
        <v>0</v>
      </c>
      <c r="CC165" s="121">
        <v>0</v>
      </c>
      <c r="CD165" s="121">
        <v>12122.5</v>
      </c>
      <c r="CE165" s="121">
        <v>24362.960000000003</v>
      </c>
      <c r="CF165" s="121">
        <v>0</v>
      </c>
      <c r="CG165" s="121">
        <v>0</v>
      </c>
      <c r="CH165" s="121">
        <v>0</v>
      </c>
      <c r="CI165" s="121">
        <v>0</v>
      </c>
      <c r="CJ165" s="121">
        <v>12170.12</v>
      </c>
      <c r="CK165" s="121"/>
      <c r="CL165" s="121">
        <v>462924.59000000008</v>
      </c>
      <c r="CM165" s="121"/>
      <c r="CN165" s="121">
        <v>22061.150000000005</v>
      </c>
      <c r="CO165" s="121">
        <v>0</v>
      </c>
      <c r="CP165" s="121">
        <v>0</v>
      </c>
      <c r="CQ165" s="121">
        <v>0</v>
      </c>
      <c r="CR165" s="118"/>
      <c r="CS165" s="33">
        <v>462924.59000000008</v>
      </c>
      <c r="CT165" s="33">
        <v>22061.150000000005</v>
      </c>
      <c r="CU165" s="65">
        <v>462924.59</v>
      </c>
      <c r="CV165" s="65">
        <v>22061.15</v>
      </c>
      <c r="CW165" s="65">
        <v>0</v>
      </c>
      <c r="CX165" s="33">
        <v>0</v>
      </c>
      <c r="CY165" s="33">
        <v>484985.74000000005</v>
      </c>
      <c r="CZ165" s="66">
        <v>24362.960000000003</v>
      </c>
      <c r="DA165" s="33">
        <v>24362.960000000003</v>
      </c>
      <c r="DB165" s="33">
        <v>0</v>
      </c>
      <c r="DC165" s="33">
        <v>-59156.389999999607</v>
      </c>
      <c r="DF165" s="33">
        <v>8.0035533756017685E-11</v>
      </c>
      <c r="DI165" s="33">
        <v>462924.59000000008</v>
      </c>
      <c r="DJ165" s="33">
        <v>22061.150000000005</v>
      </c>
      <c r="DK165" s="65">
        <v>462924.59</v>
      </c>
      <c r="DL165" s="65">
        <v>22061.15</v>
      </c>
      <c r="DQ165" s="115">
        <v>3302479</v>
      </c>
      <c r="DS165" s="33">
        <v>0</v>
      </c>
      <c r="DT165" s="33">
        <v>4760557.9000000004</v>
      </c>
      <c r="DU165" s="33">
        <v>5089324.1100000003</v>
      </c>
      <c r="DV165" s="33">
        <v>-328766.20999999996</v>
      </c>
      <c r="DW165" s="33">
        <v>36485.460000000006</v>
      </c>
      <c r="DX165" s="33">
        <v>12170.12</v>
      </c>
      <c r="DY165" s="33">
        <v>24315.340000000004</v>
      </c>
    </row>
    <row r="166" spans="2:129" x14ac:dyDescent="0.35">
      <c r="B166" s="87">
        <v>2482</v>
      </c>
      <c r="C166" s="115">
        <v>3302482</v>
      </c>
      <c r="D166" s="116" t="s">
        <v>449</v>
      </c>
      <c r="E166" s="116" t="s">
        <v>450</v>
      </c>
      <c r="F166" s="117"/>
      <c r="G166" s="118"/>
      <c r="H166" s="115"/>
      <c r="I166" s="115"/>
      <c r="J166" s="115"/>
      <c r="K166" s="115"/>
      <c r="L166" s="115"/>
      <c r="M166" s="115"/>
      <c r="N166" s="115"/>
      <c r="O166" s="115"/>
      <c r="P166" s="115"/>
      <c r="Q166" s="115"/>
      <c r="R166" s="115"/>
      <c r="S166" s="119"/>
      <c r="T166" s="119"/>
      <c r="U166" s="119"/>
      <c r="V166" s="119"/>
      <c r="W166" s="119"/>
      <c r="X166" s="119"/>
      <c r="Y166" s="120">
        <v>37532.269999999997</v>
      </c>
      <c r="Z166" s="120"/>
      <c r="AA166" s="120">
        <v>-44747.9</v>
      </c>
      <c r="AB166" s="121">
        <v>2378618.7599999998</v>
      </c>
      <c r="AC166" s="121">
        <v>0</v>
      </c>
      <c r="AD166" s="121">
        <v>38775.83</v>
      </c>
      <c r="AE166" s="121">
        <v>0</v>
      </c>
      <c r="AF166" s="121">
        <v>277145.5</v>
      </c>
      <c r="AG166" s="121">
        <v>400</v>
      </c>
      <c r="AH166" s="121">
        <v>0</v>
      </c>
      <c r="AI166" s="121">
        <v>0</v>
      </c>
      <c r="AJ166" s="121">
        <v>54884.65</v>
      </c>
      <c r="AK166" s="121">
        <v>0</v>
      </c>
      <c r="AL166" s="121">
        <v>0</v>
      </c>
      <c r="AM166" s="121">
        <v>0</v>
      </c>
      <c r="AN166" s="121">
        <v>28849.4</v>
      </c>
      <c r="AO166" s="121">
        <v>0</v>
      </c>
      <c r="AP166" s="121">
        <v>0</v>
      </c>
      <c r="AQ166" s="121">
        <v>0</v>
      </c>
      <c r="AR166" s="121">
        <v>0</v>
      </c>
      <c r="AS166" s="121">
        <v>0</v>
      </c>
      <c r="AT166" s="121">
        <v>0</v>
      </c>
      <c r="AU166" s="121">
        <v>16049.26</v>
      </c>
      <c r="AV166" s="121">
        <v>63326</v>
      </c>
      <c r="AW166" s="121">
        <v>1172080.69</v>
      </c>
      <c r="AX166" s="121">
        <v>0</v>
      </c>
      <c r="AY166" s="121">
        <v>648364.44999999995</v>
      </c>
      <c r="AZ166" s="121">
        <v>87995.37</v>
      </c>
      <c r="BA166" s="121">
        <v>313325.71000000002</v>
      </c>
      <c r="BB166" s="121">
        <v>0</v>
      </c>
      <c r="BC166" s="121">
        <v>67854.55</v>
      </c>
      <c r="BD166" s="121">
        <v>0</v>
      </c>
      <c r="BE166" s="121">
        <v>695</v>
      </c>
      <c r="BF166" s="121">
        <v>0</v>
      </c>
      <c r="BG166" s="121">
        <v>0</v>
      </c>
      <c r="BH166" s="121">
        <v>17981.310000000001</v>
      </c>
      <c r="BI166" s="121">
        <v>14370.69</v>
      </c>
      <c r="BJ166" s="121">
        <v>0</v>
      </c>
      <c r="BK166" s="121">
        <v>0</v>
      </c>
      <c r="BL166" s="121">
        <v>90803.520000000004</v>
      </c>
      <c r="BM166" s="121">
        <v>0</v>
      </c>
      <c r="BN166" s="121">
        <v>15846.33</v>
      </c>
      <c r="BO166" s="121">
        <v>49102.879999999641</v>
      </c>
      <c r="BP166" s="121">
        <v>8347.6</v>
      </c>
      <c r="BQ166" s="121">
        <v>0</v>
      </c>
      <c r="BR166" s="121">
        <v>37813.199999999997</v>
      </c>
      <c r="BS166" s="121">
        <v>9020</v>
      </c>
      <c r="BT166" s="121">
        <v>3756</v>
      </c>
      <c r="BU166" s="121">
        <v>163714.43</v>
      </c>
      <c r="BV166" s="121">
        <v>141772.67000000001</v>
      </c>
      <c r="BW166" s="121">
        <v>0</v>
      </c>
      <c r="BX166" s="121">
        <v>66134.13</v>
      </c>
      <c r="BY166" s="121">
        <v>0</v>
      </c>
      <c r="BZ166" s="121">
        <v>0</v>
      </c>
      <c r="CA166" s="121">
        <v>54884.65</v>
      </c>
      <c r="CB166" s="121">
        <v>0</v>
      </c>
      <c r="CC166" s="121">
        <v>0</v>
      </c>
      <c r="CD166" s="121">
        <v>8844.25</v>
      </c>
      <c r="CE166" s="121">
        <v>18866.519999999997</v>
      </c>
      <c r="CF166" s="121">
        <v>54884.65</v>
      </c>
      <c r="CG166" s="121">
        <v>0</v>
      </c>
      <c r="CH166" s="121">
        <v>0</v>
      </c>
      <c r="CI166" s="121">
        <v>0</v>
      </c>
      <c r="CJ166" s="121">
        <v>37847.519999999997</v>
      </c>
      <c r="CK166" s="121"/>
      <c r="CL166" s="121">
        <v>-68281.509999999806</v>
      </c>
      <c r="CM166" s="121"/>
      <c r="CN166" s="121">
        <v>0</v>
      </c>
      <c r="CO166" s="121">
        <v>0</v>
      </c>
      <c r="CP166" s="121">
        <v>0</v>
      </c>
      <c r="CQ166" s="121">
        <v>0</v>
      </c>
      <c r="CR166" s="118"/>
      <c r="CS166" s="33">
        <v>-68281.509999999806</v>
      </c>
      <c r="CT166" s="33">
        <v>0</v>
      </c>
      <c r="CU166" s="65">
        <v>-13396.86</v>
      </c>
      <c r="CV166" s="65">
        <v>-54884.65</v>
      </c>
      <c r="CW166" s="65">
        <v>-54884.649999999805</v>
      </c>
      <c r="CX166" s="33">
        <v>-54884.65</v>
      </c>
      <c r="CY166" s="33">
        <v>-68281.510000000009</v>
      </c>
      <c r="CZ166" s="66">
        <v>18866.519999999997</v>
      </c>
      <c r="DA166" s="33">
        <v>18866.519999999997</v>
      </c>
      <c r="DB166" s="33">
        <v>0</v>
      </c>
      <c r="DC166" s="33">
        <v>-3.5652192309498787E-10</v>
      </c>
      <c r="DD166" s="65">
        <v>-54884.65</v>
      </c>
      <c r="DF166" s="33">
        <v>1.964508555829525E-10</v>
      </c>
      <c r="DI166" s="33">
        <v>-68281.509999999806</v>
      </c>
      <c r="DJ166" s="33">
        <v>0</v>
      </c>
      <c r="DK166" s="65">
        <v>-13396.86</v>
      </c>
      <c r="DL166" s="65">
        <v>-54884.65</v>
      </c>
      <c r="DQ166" s="115">
        <v>3302482</v>
      </c>
      <c r="DS166" s="33">
        <v>0</v>
      </c>
      <c r="DT166" s="33">
        <v>2858049.3999999994</v>
      </c>
      <c r="DU166" s="33">
        <v>2963863.1799999992</v>
      </c>
      <c r="DV166" s="33">
        <v>-105813.7799999998</v>
      </c>
      <c r="DW166" s="33">
        <v>82595.42</v>
      </c>
      <c r="DX166" s="33">
        <v>37847.519999999997</v>
      </c>
      <c r="DY166" s="33">
        <v>44747.9</v>
      </c>
    </row>
    <row r="167" spans="2:129" x14ac:dyDescent="0.35">
      <c r="B167" s="87">
        <v>3002</v>
      </c>
      <c r="C167" s="115">
        <v>3303002</v>
      </c>
      <c r="D167" s="116" t="s">
        <v>451</v>
      </c>
      <c r="E167" s="116" t="s">
        <v>452</v>
      </c>
      <c r="F167" s="117"/>
      <c r="G167" s="118"/>
      <c r="H167" s="115"/>
      <c r="I167" s="115"/>
      <c r="J167" s="115"/>
      <c r="K167" s="115"/>
      <c r="L167" s="115"/>
      <c r="M167" s="115"/>
      <c r="N167" s="115"/>
      <c r="O167" s="115"/>
      <c r="P167" s="115"/>
      <c r="Q167" s="115"/>
      <c r="R167" s="115"/>
      <c r="S167" s="119"/>
      <c r="T167" s="119"/>
      <c r="U167" s="119"/>
      <c r="V167" s="119"/>
      <c r="W167" s="119"/>
      <c r="X167" s="119"/>
      <c r="Y167" s="120">
        <v>423015.37</v>
      </c>
      <c r="Z167" s="120"/>
      <c r="AA167" s="120">
        <v>12894.48</v>
      </c>
      <c r="AB167" s="121">
        <v>1331141.6200000001</v>
      </c>
      <c r="AC167" s="121">
        <v>0</v>
      </c>
      <c r="AD167" s="121">
        <v>31510</v>
      </c>
      <c r="AE167" s="121">
        <v>0</v>
      </c>
      <c r="AF167" s="121">
        <v>136771</v>
      </c>
      <c r="AG167" s="121">
        <v>3256.93</v>
      </c>
      <c r="AH167" s="121">
        <v>0</v>
      </c>
      <c r="AI167" s="121">
        <v>0</v>
      </c>
      <c r="AJ167" s="121">
        <v>16855.060000000001</v>
      </c>
      <c r="AK167" s="121">
        <v>4394.84</v>
      </c>
      <c r="AL167" s="121">
        <v>0</v>
      </c>
      <c r="AM167" s="121">
        <v>0</v>
      </c>
      <c r="AN167" s="121">
        <v>1380.59</v>
      </c>
      <c r="AO167" s="121">
        <v>0</v>
      </c>
      <c r="AP167" s="121">
        <v>0</v>
      </c>
      <c r="AQ167" s="121">
        <v>0</v>
      </c>
      <c r="AR167" s="121">
        <v>0</v>
      </c>
      <c r="AS167" s="121">
        <v>0</v>
      </c>
      <c r="AT167" s="121">
        <v>0</v>
      </c>
      <c r="AU167" s="121">
        <v>22663.759999999998</v>
      </c>
      <c r="AV167" s="121">
        <v>32562</v>
      </c>
      <c r="AW167" s="121">
        <v>606609.6</v>
      </c>
      <c r="AX167" s="121">
        <v>0</v>
      </c>
      <c r="AY167" s="121">
        <v>195869.41</v>
      </c>
      <c r="AZ167" s="121">
        <v>36012.67</v>
      </c>
      <c r="BA167" s="121">
        <v>105416.76</v>
      </c>
      <c r="BB167" s="121">
        <v>0</v>
      </c>
      <c r="BC167" s="121">
        <v>49898.38</v>
      </c>
      <c r="BD167" s="121">
        <v>5050.8599999999997</v>
      </c>
      <c r="BE167" s="121">
        <v>8279.4</v>
      </c>
      <c r="BF167" s="121">
        <v>0</v>
      </c>
      <c r="BG167" s="121">
        <v>0</v>
      </c>
      <c r="BH167" s="121">
        <v>77340.59</v>
      </c>
      <c r="BI167" s="121">
        <v>715</v>
      </c>
      <c r="BJ167" s="121">
        <v>23262.15</v>
      </c>
      <c r="BK167" s="121">
        <v>2674.46</v>
      </c>
      <c r="BL167" s="121">
        <v>45892.86</v>
      </c>
      <c r="BM167" s="121">
        <v>14543.36</v>
      </c>
      <c r="BN167" s="121">
        <v>9004.94</v>
      </c>
      <c r="BO167" s="121">
        <v>69246.060000000114</v>
      </c>
      <c r="BP167" s="121">
        <v>860.5</v>
      </c>
      <c r="BQ167" s="121">
        <v>0</v>
      </c>
      <c r="BR167" s="121">
        <v>26441.74</v>
      </c>
      <c r="BS167" s="121">
        <v>4895</v>
      </c>
      <c r="BT167" s="121">
        <v>2502</v>
      </c>
      <c r="BU167" s="121">
        <v>99061.41</v>
      </c>
      <c r="BV167" s="121">
        <v>245980.65</v>
      </c>
      <c r="BW167" s="121">
        <v>7251</v>
      </c>
      <c r="BX167" s="121">
        <v>116872.85</v>
      </c>
      <c r="BY167" s="121">
        <v>0</v>
      </c>
      <c r="BZ167" s="121">
        <v>0</v>
      </c>
      <c r="CA167" s="121">
        <v>0</v>
      </c>
      <c r="CB167" s="121">
        <v>0</v>
      </c>
      <c r="CC167" s="121">
        <v>0</v>
      </c>
      <c r="CD167" s="121">
        <v>6484</v>
      </c>
      <c r="CE167" s="121">
        <v>14340.98</v>
      </c>
      <c r="CF167" s="121">
        <v>0</v>
      </c>
      <c r="CG167" s="121">
        <v>0</v>
      </c>
      <c r="CH167" s="121">
        <v>0</v>
      </c>
      <c r="CI167" s="121">
        <v>0</v>
      </c>
      <c r="CJ167" s="121">
        <v>0</v>
      </c>
      <c r="CK167" s="121"/>
      <c r="CL167" s="121">
        <v>249869.52000000014</v>
      </c>
      <c r="CM167" s="121"/>
      <c r="CN167" s="121">
        <v>33719.46</v>
      </c>
      <c r="CO167" s="121">
        <v>0</v>
      </c>
      <c r="CP167" s="121">
        <v>0</v>
      </c>
      <c r="CQ167" s="121">
        <v>0</v>
      </c>
      <c r="CR167" s="118"/>
      <c r="CS167" s="33">
        <v>249869.52000000014</v>
      </c>
      <c r="CT167" s="33">
        <v>33719.46</v>
      </c>
      <c r="CU167" s="65">
        <v>249869.52</v>
      </c>
      <c r="CV167" s="65">
        <v>33719.46</v>
      </c>
      <c r="CW167" s="65">
        <v>0</v>
      </c>
      <c r="CX167" s="33">
        <v>0</v>
      </c>
      <c r="CY167" s="33">
        <v>283588.98</v>
      </c>
      <c r="CZ167" s="66">
        <v>14340.98</v>
      </c>
      <c r="DA167" s="33">
        <v>14340.98</v>
      </c>
      <c r="DB167" s="33">
        <v>0</v>
      </c>
      <c r="DC167" s="33">
        <v>-2.9999999882420525E-2</v>
      </c>
      <c r="DF167" s="33">
        <v>1.673470251262188E-10</v>
      </c>
      <c r="DI167" s="33">
        <v>249869.52000000014</v>
      </c>
      <c r="DJ167" s="33">
        <v>33719.46</v>
      </c>
      <c r="DK167" s="65">
        <v>249869.52</v>
      </c>
      <c r="DL167" s="65">
        <v>33719.46</v>
      </c>
      <c r="DQ167" s="115">
        <v>3303002</v>
      </c>
      <c r="DS167" s="33">
        <v>0</v>
      </c>
      <c r="DT167" s="33">
        <v>1580535.8000000003</v>
      </c>
      <c r="DU167" s="33">
        <v>1753681.6500000001</v>
      </c>
      <c r="DV167" s="33">
        <v>-173145.84999999986</v>
      </c>
      <c r="DW167" s="33">
        <v>20824.98</v>
      </c>
      <c r="DX167" s="33">
        <v>0</v>
      </c>
      <c r="DY167" s="33">
        <v>20824.98</v>
      </c>
    </row>
    <row r="168" spans="2:129" x14ac:dyDescent="0.35">
      <c r="B168" s="87">
        <v>3003</v>
      </c>
      <c r="C168" s="115">
        <v>3303003</v>
      </c>
      <c r="D168" s="116" t="s">
        <v>453</v>
      </c>
      <c r="E168" s="116" t="s">
        <v>454</v>
      </c>
      <c r="F168" s="117"/>
      <c r="G168" s="118"/>
      <c r="H168" s="115"/>
      <c r="I168" s="115"/>
      <c r="J168" s="115"/>
      <c r="K168" s="115"/>
      <c r="L168" s="115"/>
      <c r="M168" s="115"/>
      <c r="N168" s="115"/>
      <c r="O168" s="115"/>
      <c r="P168" s="115"/>
      <c r="Q168" s="115"/>
      <c r="R168" s="115"/>
      <c r="S168" s="119"/>
      <c r="T168" s="119"/>
      <c r="U168" s="119"/>
      <c r="V168" s="119"/>
      <c r="W168" s="119"/>
      <c r="X168" s="119"/>
      <c r="Y168" s="120">
        <v>113994.64</v>
      </c>
      <c r="Z168" s="120"/>
      <c r="AA168" s="120">
        <v>-28412.5</v>
      </c>
      <c r="AB168" s="121">
        <v>988776.45</v>
      </c>
      <c r="AC168" s="121">
        <v>0</v>
      </c>
      <c r="AD168" s="121">
        <v>24675</v>
      </c>
      <c r="AE168" s="121">
        <v>0</v>
      </c>
      <c r="AF168" s="121">
        <v>40225.5</v>
      </c>
      <c r="AG168" s="121">
        <v>856.93</v>
      </c>
      <c r="AH168" s="121">
        <v>0</v>
      </c>
      <c r="AI168" s="121">
        <v>0</v>
      </c>
      <c r="AJ168" s="121">
        <v>83860.789999999892</v>
      </c>
      <c r="AK168" s="121">
        <v>0</v>
      </c>
      <c r="AL168" s="121">
        <v>0</v>
      </c>
      <c r="AM168" s="121">
        <v>0</v>
      </c>
      <c r="AN168" s="121">
        <v>141933.23000000001</v>
      </c>
      <c r="AO168" s="121">
        <v>0</v>
      </c>
      <c r="AP168" s="121">
        <v>0</v>
      </c>
      <c r="AQ168" s="121">
        <v>0</v>
      </c>
      <c r="AR168" s="121">
        <v>0</v>
      </c>
      <c r="AS168" s="121">
        <v>0</v>
      </c>
      <c r="AT168" s="121">
        <v>0</v>
      </c>
      <c r="AU168" s="121">
        <v>2227.88</v>
      </c>
      <c r="AV168" s="121">
        <v>52852</v>
      </c>
      <c r="AW168" s="121">
        <v>558185.4</v>
      </c>
      <c r="AX168" s="121">
        <v>0</v>
      </c>
      <c r="AY168" s="121">
        <v>141270.29999999999</v>
      </c>
      <c r="AZ168" s="121">
        <v>40760.32</v>
      </c>
      <c r="BA168" s="121">
        <v>71973.08</v>
      </c>
      <c r="BB168" s="121">
        <v>0</v>
      </c>
      <c r="BC168" s="121">
        <v>35107.879999999997</v>
      </c>
      <c r="BD168" s="121">
        <v>3806.95</v>
      </c>
      <c r="BE168" s="121">
        <v>5317</v>
      </c>
      <c r="BF168" s="121">
        <v>0</v>
      </c>
      <c r="BG168" s="121">
        <v>0</v>
      </c>
      <c r="BH168" s="121">
        <v>19020.53</v>
      </c>
      <c r="BI168" s="121">
        <v>2299.98</v>
      </c>
      <c r="BJ168" s="121">
        <v>3228.56</v>
      </c>
      <c r="BK168" s="121">
        <v>859.82</v>
      </c>
      <c r="BL168" s="121">
        <v>14343.93</v>
      </c>
      <c r="BM168" s="121">
        <v>0</v>
      </c>
      <c r="BN168" s="121">
        <v>12248.01</v>
      </c>
      <c r="BO168" s="121">
        <v>35567.480000000003</v>
      </c>
      <c r="BP168" s="121">
        <v>8903.99</v>
      </c>
      <c r="BQ168" s="121">
        <v>0</v>
      </c>
      <c r="BR168" s="121">
        <v>10159.57</v>
      </c>
      <c r="BS168" s="121">
        <v>4895</v>
      </c>
      <c r="BT168" s="121">
        <v>1960</v>
      </c>
      <c r="BU168" s="121">
        <v>90146.9</v>
      </c>
      <c r="BV168" s="121">
        <v>132605.96</v>
      </c>
      <c r="BW168" s="121">
        <v>120</v>
      </c>
      <c r="BX168" s="121">
        <v>141238.54</v>
      </c>
      <c r="BY168" s="121">
        <v>0</v>
      </c>
      <c r="BZ168" s="121">
        <v>0</v>
      </c>
      <c r="CA168" s="121">
        <v>28412.5</v>
      </c>
      <c r="CB168" s="121">
        <v>0</v>
      </c>
      <c r="CC168" s="121">
        <v>0</v>
      </c>
      <c r="CD168" s="121">
        <v>6956.55</v>
      </c>
      <c r="CE168" s="121">
        <v>0</v>
      </c>
      <c r="CF168" s="121">
        <v>28412.5</v>
      </c>
      <c r="CG168" s="121">
        <v>0</v>
      </c>
      <c r="CH168" s="121">
        <v>0</v>
      </c>
      <c r="CI168" s="121">
        <v>6956.55</v>
      </c>
      <c r="CJ168" s="121">
        <v>0</v>
      </c>
      <c r="CK168" s="121">
        <v>0</v>
      </c>
      <c r="CL168" s="121">
        <v>86970.719999999841</v>
      </c>
      <c r="CM168" s="121"/>
      <c r="CN168" s="121">
        <v>0</v>
      </c>
      <c r="CO168" s="121">
        <v>0</v>
      </c>
      <c r="CP168" s="121">
        <v>0</v>
      </c>
      <c r="CQ168" s="121">
        <v>0</v>
      </c>
      <c r="CR168" s="118"/>
      <c r="CS168" s="33">
        <v>86970.719999999841</v>
      </c>
      <c r="CT168" s="33">
        <v>0</v>
      </c>
      <c r="CU168" s="65">
        <v>115383.22</v>
      </c>
      <c r="CV168" s="65">
        <v>-28412.5</v>
      </c>
      <c r="CW168" s="65">
        <v>-28412.50000000016</v>
      </c>
      <c r="CX168" s="33">
        <v>-28412.5</v>
      </c>
      <c r="CY168" s="33">
        <v>86970.72</v>
      </c>
      <c r="CZ168" s="66">
        <v>0</v>
      </c>
      <c r="DA168" s="33">
        <v>0</v>
      </c>
      <c r="DB168" s="33">
        <v>4.0000000110012479E-2</v>
      </c>
      <c r="DC168" s="33">
        <v>0</v>
      </c>
      <c r="DD168" s="65">
        <v>-28412.5</v>
      </c>
      <c r="DF168" s="33">
        <v>-1.6007106751203537E-10</v>
      </c>
      <c r="DI168" s="33">
        <v>86970.719999999841</v>
      </c>
      <c r="DJ168" s="33">
        <v>0</v>
      </c>
      <c r="DK168" s="65">
        <v>115383.22</v>
      </c>
      <c r="DL168" s="65">
        <v>-28412.5</v>
      </c>
      <c r="DQ168" s="115">
        <v>3303003</v>
      </c>
      <c r="DS168" s="33">
        <v>0</v>
      </c>
      <c r="DT168" s="33">
        <v>1335407.7799999996</v>
      </c>
      <c r="DU168" s="33">
        <v>1362431.6999999997</v>
      </c>
      <c r="DV168" s="33">
        <v>-27023.920000000158</v>
      </c>
      <c r="DW168" s="33">
        <v>35369.050000000003</v>
      </c>
      <c r="DX168" s="33">
        <v>6956.55</v>
      </c>
      <c r="DY168" s="33">
        <v>28412.500000000004</v>
      </c>
    </row>
    <row r="169" spans="2:129" x14ac:dyDescent="0.35">
      <c r="B169" s="87">
        <v>3010</v>
      </c>
      <c r="C169" s="115">
        <v>3303010</v>
      </c>
      <c r="D169" s="116" t="s">
        <v>455</v>
      </c>
      <c r="E169" s="116" t="s">
        <v>456</v>
      </c>
      <c r="F169" s="117"/>
      <c r="G169" s="118"/>
      <c r="H169" s="115"/>
      <c r="I169" s="115"/>
      <c r="J169" s="115"/>
      <c r="K169" s="115"/>
      <c r="L169" s="115"/>
      <c r="M169" s="115"/>
      <c r="N169" s="115"/>
      <c r="O169" s="115"/>
      <c r="P169" s="115"/>
      <c r="Q169" s="115"/>
      <c r="R169" s="115"/>
      <c r="S169" s="119"/>
      <c r="T169" s="119"/>
      <c r="U169" s="119"/>
      <c r="V169" s="119"/>
      <c r="W169" s="119"/>
      <c r="X169" s="119"/>
      <c r="Y169" s="120">
        <v>435229.28</v>
      </c>
      <c r="Z169" s="120"/>
      <c r="AA169" s="120">
        <v>-11002.42</v>
      </c>
      <c r="AB169" s="121">
        <v>2428498.86</v>
      </c>
      <c r="AC169" s="121">
        <v>0</v>
      </c>
      <c r="AD169" s="121">
        <v>105751.49</v>
      </c>
      <c r="AE169" s="121">
        <v>0</v>
      </c>
      <c r="AF169" s="121">
        <v>287666.5</v>
      </c>
      <c r="AG169" s="121">
        <v>8256.93</v>
      </c>
      <c r="AH169" s="121">
        <v>0</v>
      </c>
      <c r="AI169" s="121">
        <v>0</v>
      </c>
      <c r="AJ169" s="121">
        <v>36097.949999998884</v>
      </c>
      <c r="AK169" s="121">
        <v>0</v>
      </c>
      <c r="AL169" s="121">
        <v>0</v>
      </c>
      <c r="AM169" s="121">
        <v>0</v>
      </c>
      <c r="AN169" s="121">
        <v>24846.1</v>
      </c>
      <c r="AO169" s="121">
        <v>9000</v>
      </c>
      <c r="AP169" s="121">
        <v>0</v>
      </c>
      <c r="AQ169" s="121">
        <v>0</v>
      </c>
      <c r="AR169" s="121">
        <v>0</v>
      </c>
      <c r="AS169" s="121">
        <v>0</v>
      </c>
      <c r="AT169" s="121">
        <v>0</v>
      </c>
      <c r="AU169" s="121">
        <v>47488.13</v>
      </c>
      <c r="AV169" s="121">
        <v>59930</v>
      </c>
      <c r="AW169" s="121">
        <v>1186878.5</v>
      </c>
      <c r="AX169" s="121">
        <v>0</v>
      </c>
      <c r="AY169" s="121">
        <v>558078.52</v>
      </c>
      <c r="AZ169" s="121">
        <v>0</v>
      </c>
      <c r="BA169" s="121">
        <v>197854.37</v>
      </c>
      <c r="BB169" s="121">
        <v>0</v>
      </c>
      <c r="BC169" s="121">
        <v>67936.39</v>
      </c>
      <c r="BD169" s="121">
        <v>6630.76</v>
      </c>
      <c r="BE169" s="121">
        <v>8273.26</v>
      </c>
      <c r="BF169" s="121">
        <v>0</v>
      </c>
      <c r="BG169" s="121">
        <v>0</v>
      </c>
      <c r="BH169" s="121">
        <v>178179.69</v>
      </c>
      <c r="BI169" s="121">
        <v>275.17</v>
      </c>
      <c r="BJ169" s="121">
        <v>0</v>
      </c>
      <c r="BK169" s="121">
        <v>12385.52</v>
      </c>
      <c r="BL169" s="121">
        <v>65196.38</v>
      </c>
      <c r="BM169" s="121">
        <v>0</v>
      </c>
      <c r="BN169" s="121">
        <v>4455.1899999999996</v>
      </c>
      <c r="BO169" s="121">
        <v>79635.509999999995</v>
      </c>
      <c r="BP169" s="121">
        <v>27880.76</v>
      </c>
      <c r="BQ169" s="121">
        <v>44787.8</v>
      </c>
      <c r="BR169" s="121">
        <v>19819.39</v>
      </c>
      <c r="BS169" s="121">
        <v>4895</v>
      </c>
      <c r="BT169" s="121">
        <v>0</v>
      </c>
      <c r="BU169" s="121">
        <v>155795.98000000001</v>
      </c>
      <c r="BV169" s="121">
        <v>107018.78</v>
      </c>
      <c r="BW169" s="121">
        <v>0</v>
      </c>
      <c r="BX169" s="121">
        <v>91015.67</v>
      </c>
      <c r="BY169" s="121">
        <v>0</v>
      </c>
      <c r="BZ169" s="121">
        <v>0</v>
      </c>
      <c r="CA169" s="121">
        <v>23194.37</v>
      </c>
      <c r="CB169" s="121">
        <v>0</v>
      </c>
      <c r="CC169" s="121">
        <v>0</v>
      </c>
      <c r="CD169" s="121">
        <v>8725</v>
      </c>
      <c r="CE169" s="121">
        <v>0</v>
      </c>
      <c r="CF169" s="121">
        <v>23194.37</v>
      </c>
      <c r="CG169" s="121">
        <v>0</v>
      </c>
      <c r="CH169" s="121">
        <v>0</v>
      </c>
      <c r="CI169" s="121">
        <v>8725</v>
      </c>
      <c r="CJ169" s="121">
        <v>12191.95</v>
      </c>
      <c r="CK169" s="121">
        <v>0</v>
      </c>
      <c r="CL169" s="121">
        <v>602578.22999999975</v>
      </c>
      <c r="CM169" s="121"/>
      <c r="CN169" s="121">
        <v>0</v>
      </c>
      <c r="CO169" s="121">
        <v>0</v>
      </c>
      <c r="CP169" s="121">
        <v>0</v>
      </c>
      <c r="CQ169" s="121">
        <v>0</v>
      </c>
      <c r="CR169" s="118"/>
      <c r="CS169" s="33">
        <v>602578.22999999975</v>
      </c>
      <c r="CT169" s="33">
        <v>0</v>
      </c>
      <c r="CU169" s="65">
        <v>625772.6</v>
      </c>
      <c r="CV169" s="65">
        <v>-23194.37</v>
      </c>
      <c r="CW169" s="65">
        <v>-23194.370000000228</v>
      </c>
      <c r="CX169" s="33">
        <v>-23194.37</v>
      </c>
      <c r="CY169" s="33">
        <v>602578.23</v>
      </c>
      <c r="CZ169" s="66">
        <v>0</v>
      </c>
      <c r="DA169" s="33">
        <v>0</v>
      </c>
      <c r="DB169" s="33">
        <v>12903.570000001113</v>
      </c>
      <c r="DC169" s="33">
        <v>0</v>
      </c>
      <c r="DD169" s="65">
        <v>-23194.37</v>
      </c>
      <c r="DF169" s="33">
        <v>-2.2919266484677792E-10</v>
      </c>
      <c r="DI169" s="33">
        <v>602578.22999999975</v>
      </c>
      <c r="DJ169" s="33">
        <v>0</v>
      </c>
      <c r="DK169" s="65">
        <v>625772.6</v>
      </c>
      <c r="DL169" s="65">
        <v>-23194.37</v>
      </c>
      <c r="DQ169" s="115">
        <v>3303010</v>
      </c>
      <c r="DS169" s="33">
        <v>0</v>
      </c>
      <c r="DT169" s="33">
        <v>3007535.959999999</v>
      </c>
      <c r="DU169" s="33">
        <v>2840187.0099999993</v>
      </c>
      <c r="DV169" s="33">
        <v>167348.94999999972</v>
      </c>
      <c r="DW169" s="33">
        <v>31919.37</v>
      </c>
      <c r="DX169" s="33">
        <v>20916.95</v>
      </c>
      <c r="DY169" s="33">
        <v>11002.419999999998</v>
      </c>
    </row>
    <row r="170" spans="2:129" x14ac:dyDescent="0.35">
      <c r="B170" s="87">
        <v>3016</v>
      </c>
      <c r="C170" s="115">
        <v>3303016</v>
      </c>
      <c r="D170" s="116" t="s">
        <v>457</v>
      </c>
      <c r="E170" s="116" t="s">
        <v>458</v>
      </c>
      <c r="F170" s="117"/>
      <c r="G170" s="118"/>
      <c r="H170" s="115"/>
      <c r="I170" s="115"/>
      <c r="J170" s="115"/>
      <c r="K170" s="115"/>
      <c r="L170" s="115"/>
      <c r="M170" s="115"/>
      <c r="N170" s="115"/>
      <c r="O170" s="115"/>
      <c r="P170" s="115"/>
      <c r="Q170" s="115"/>
      <c r="R170" s="115"/>
      <c r="S170" s="119"/>
      <c r="T170" s="119"/>
      <c r="U170" s="119"/>
      <c r="V170" s="119"/>
      <c r="W170" s="119"/>
      <c r="X170" s="119"/>
      <c r="Y170" s="120">
        <v>486509.09</v>
      </c>
      <c r="Z170" s="120"/>
      <c r="AA170" s="120">
        <v>12601.88</v>
      </c>
      <c r="AB170" s="121">
        <v>1315527.46</v>
      </c>
      <c r="AC170" s="121">
        <v>0</v>
      </c>
      <c r="AD170" s="121">
        <v>61168.75</v>
      </c>
      <c r="AE170" s="121">
        <v>0</v>
      </c>
      <c r="AF170" s="121">
        <v>173145.5</v>
      </c>
      <c r="AG170" s="121">
        <v>2600</v>
      </c>
      <c r="AH170" s="121">
        <v>0</v>
      </c>
      <c r="AI170" s="121">
        <v>0</v>
      </c>
      <c r="AJ170" s="121">
        <v>208809.97</v>
      </c>
      <c r="AK170" s="121">
        <v>5093.1499999999996</v>
      </c>
      <c r="AL170" s="121">
        <v>0</v>
      </c>
      <c r="AM170" s="121">
        <v>0</v>
      </c>
      <c r="AN170" s="121">
        <v>1735</v>
      </c>
      <c r="AO170" s="121">
        <v>0</v>
      </c>
      <c r="AP170" s="121">
        <v>0</v>
      </c>
      <c r="AQ170" s="121">
        <v>0</v>
      </c>
      <c r="AR170" s="121">
        <v>0</v>
      </c>
      <c r="AS170" s="121">
        <v>0</v>
      </c>
      <c r="AT170" s="121">
        <v>0</v>
      </c>
      <c r="AU170" s="121">
        <v>21423.119999999999</v>
      </c>
      <c r="AV170" s="121">
        <v>36737</v>
      </c>
      <c r="AW170" s="121">
        <v>498036.06</v>
      </c>
      <c r="AX170" s="121">
        <v>0</v>
      </c>
      <c r="AY170" s="121">
        <v>313090.59999999998</v>
      </c>
      <c r="AZ170" s="121">
        <v>70875.75</v>
      </c>
      <c r="BA170" s="121">
        <v>131742.09</v>
      </c>
      <c r="BB170" s="121">
        <v>0</v>
      </c>
      <c r="BC170" s="121">
        <v>53763.08</v>
      </c>
      <c r="BD170" s="121">
        <v>392.49</v>
      </c>
      <c r="BE170" s="121">
        <v>6257.2</v>
      </c>
      <c r="BF170" s="121">
        <v>0</v>
      </c>
      <c r="BG170" s="121">
        <v>0</v>
      </c>
      <c r="BH170" s="121">
        <v>49048.49</v>
      </c>
      <c r="BI170" s="121">
        <v>9009.2199999999993</v>
      </c>
      <c r="BJ170" s="121">
        <v>3178.19</v>
      </c>
      <c r="BK170" s="121">
        <v>4981.51</v>
      </c>
      <c r="BL170" s="121">
        <v>48247.35</v>
      </c>
      <c r="BM170" s="121">
        <v>14919.48</v>
      </c>
      <c r="BN170" s="121">
        <v>8486.9699999999993</v>
      </c>
      <c r="BO170" s="121">
        <v>65153.350000000282</v>
      </c>
      <c r="BP170" s="121">
        <v>2881.38</v>
      </c>
      <c r="BQ170" s="121">
        <v>0</v>
      </c>
      <c r="BR170" s="121">
        <v>210029.94</v>
      </c>
      <c r="BS170" s="121">
        <v>4895</v>
      </c>
      <c r="BT170" s="121">
        <v>0</v>
      </c>
      <c r="BU170" s="121">
        <v>115985.81</v>
      </c>
      <c r="BV170" s="121">
        <v>65939.179999999993</v>
      </c>
      <c r="BW170" s="121">
        <v>0</v>
      </c>
      <c r="BX170" s="121">
        <v>133472.03</v>
      </c>
      <c r="BY170" s="121">
        <v>0</v>
      </c>
      <c r="BZ170" s="121">
        <v>0</v>
      </c>
      <c r="CA170" s="121">
        <v>0.37</v>
      </c>
      <c r="CB170" s="121">
        <v>0</v>
      </c>
      <c r="CC170" s="121">
        <v>0</v>
      </c>
      <c r="CD170" s="121">
        <v>6283.75</v>
      </c>
      <c r="CE170" s="121">
        <v>0</v>
      </c>
      <c r="CF170" s="121">
        <v>0.37</v>
      </c>
      <c r="CG170" s="121">
        <v>0</v>
      </c>
      <c r="CH170" s="121">
        <v>0</v>
      </c>
      <c r="CI170" s="121">
        <v>0</v>
      </c>
      <c r="CJ170" s="121">
        <v>18886</v>
      </c>
      <c r="CK170" s="121">
        <v>8.0035977845227535E-13</v>
      </c>
      <c r="CL170" s="121">
        <v>502363.49999999994</v>
      </c>
      <c r="CM170" s="121"/>
      <c r="CN170" s="121">
        <v>0</v>
      </c>
      <c r="CO170" s="121">
        <v>0</v>
      </c>
      <c r="CP170" s="121">
        <v>0</v>
      </c>
      <c r="CQ170" s="121">
        <v>0</v>
      </c>
      <c r="CR170" s="118"/>
      <c r="CS170" s="33">
        <v>502363.49999999994</v>
      </c>
      <c r="CT170" s="33">
        <v>0</v>
      </c>
      <c r="CU170" s="65">
        <v>502363.87</v>
      </c>
      <c r="CV170" s="65">
        <v>-0.37</v>
      </c>
      <c r="CW170" s="65">
        <v>-0.37000000005355105</v>
      </c>
      <c r="CX170" s="33">
        <v>-0.37</v>
      </c>
      <c r="CY170" s="33">
        <v>502363.5</v>
      </c>
      <c r="CZ170" s="66">
        <v>8.0035977845227535E-13</v>
      </c>
      <c r="DA170" s="33">
        <v>8.0035977845227535E-13</v>
      </c>
      <c r="DB170" s="33">
        <v>0</v>
      </c>
      <c r="DC170" s="33">
        <v>-9.9999997182749212E-3</v>
      </c>
      <c r="DD170" s="65">
        <v>-0.37</v>
      </c>
      <c r="DF170" s="33">
        <v>-5.3551052481282113E-11</v>
      </c>
      <c r="DI170" s="33">
        <v>502363.49999999994</v>
      </c>
      <c r="DJ170" s="33">
        <v>0</v>
      </c>
      <c r="DK170" s="65">
        <v>502363.87</v>
      </c>
      <c r="DL170" s="65">
        <v>-0.37</v>
      </c>
      <c r="DQ170" s="115">
        <v>3303016</v>
      </c>
      <c r="DS170" s="33">
        <v>0</v>
      </c>
      <c r="DT170" s="33">
        <v>1826239.95</v>
      </c>
      <c r="DU170" s="33">
        <v>1810385.54</v>
      </c>
      <c r="DV170" s="33">
        <v>15854.409999999916</v>
      </c>
      <c r="DW170" s="33">
        <v>6284.12</v>
      </c>
      <c r="DX170" s="33">
        <v>18886</v>
      </c>
      <c r="DY170" s="33">
        <v>-12601.880000000001</v>
      </c>
    </row>
    <row r="171" spans="2:129" x14ac:dyDescent="0.35">
      <c r="B171" s="87">
        <v>3307</v>
      </c>
      <c r="C171" s="115">
        <v>3303307</v>
      </c>
      <c r="D171" s="116" t="s">
        <v>459</v>
      </c>
      <c r="E171" s="116" t="s">
        <v>460</v>
      </c>
      <c r="F171" s="117"/>
      <c r="G171" s="118"/>
      <c r="H171" s="115"/>
      <c r="I171" s="115"/>
      <c r="J171" s="115"/>
      <c r="K171" s="115"/>
      <c r="L171" s="115"/>
      <c r="M171" s="115"/>
      <c r="N171" s="115"/>
      <c r="O171" s="115"/>
      <c r="P171" s="115"/>
      <c r="Q171" s="115"/>
      <c r="R171" s="115"/>
      <c r="S171" s="119"/>
      <c r="T171" s="119"/>
      <c r="U171" s="119"/>
      <c r="V171" s="119"/>
      <c r="W171" s="119"/>
      <c r="X171" s="119"/>
      <c r="Y171" s="120">
        <v>201088.52</v>
      </c>
      <c r="Z171" s="120"/>
      <c r="AA171" s="120">
        <v>0</v>
      </c>
      <c r="AB171" s="121">
        <v>1693557.76</v>
      </c>
      <c r="AC171" s="121">
        <v>0</v>
      </c>
      <c r="AD171" s="121">
        <v>119837</v>
      </c>
      <c r="AE171" s="121">
        <v>0</v>
      </c>
      <c r="AF171" s="121">
        <v>137645.5</v>
      </c>
      <c r="AG171" s="121">
        <v>0</v>
      </c>
      <c r="AH171" s="121">
        <v>0</v>
      </c>
      <c r="AI171" s="121">
        <v>0</v>
      </c>
      <c r="AJ171" s="121">
        <v>162971.08000000048</v>
      </c>
      <c r="AK171" s="121">
        <v>0</v>
      </c>
      <c r="AL171" s="121">
        <v>0</v>
      </c>
      <c r="AM171" s="121">
        <v>0</v>
      </c>
      <c r="AN171" s="121">
        <v>12628.31</v>
      </c>
      <c r="AO171" s="121">
        <v>0</v>
      </c>
      <c r="AP171" s="121">
        <v>0</v>
      </c>
      <c r="AQ171" s="121">
        <v>0</v>
      </c>
      <c r="AR171" s="121">
        <v>0</v>
      </c>
      <c r="AS171" s="121">
        <v>0</v>
      </c>
      <c r="AT171" s="121">
        <v>0</v>
      </c>
      <c r="AU171" s="121">
        <v>22378.76</v>
      </c>
      <c r="AV171" s="121">
        <v>19607</v>
      </c>
      <c r="AW171" s="121">
        <v>1092562.17</v>
      </c>
      <c r="AX171" s="121">
        <v>0</v>
      </c>
      <c r="AY171" s="121">
        <v>195010.58</v>
      </c>
      <c r="AZ171" s="121">
        <v>72191.58</v>
      </c>
      <c r="BA171" s="121">
        <v>150830.47</v>
      </c>
      <c r="BB171" s="121">
        <v>0</v>
      </c>
      <c r="BC171" s="121">
        <v>41479.730000000003</v>
      </c>
      <c r="BD171" s="121">
        <v>379.66</v>
      </c>
      <c r="BE171" s="121">
        <v>2460.33</v>
      </c>
      <c r="BF171" s="121">
        <v>0</v>
      </c>
      <c r="BG171" s="121">
        <v>0</v>
      </c>
      <c r="BH171" s="121">
        <v>23036.37</v>
      </c>
      <c r="BI171" s="121">
        <v>2510.4</v>
      </c>
      <c r="BJ171" s="121">
        <v>6315.54</v>
      </c>
      <c r="BK171" s="121">
        <v>8626.84</v>
      </c>
      <c r="BL171" s="121">
        <v>76582.289999999994</v>
      </c>
      <c r="BM171" s="121">
        <v>0</v>
      </c>
      <c r="BN171" s="121">
        <v>4199.93</v>
      </c>
      <c r="BO171" s="121">
        <v>107807.37</v>
      </c>
      <c r="BP171" s="121">
        <v>3852.25</v>
      </c>
      <c r="BQ171" s="121">
        <v>9825.84</v>
      </c>
      <c r="BR171" s="121">
        <v>13375.25</v>
      </c>
      <c r="BS171" s="121">
        <v>4895</v>
      </c>
      <c r="BT171" s="121">
        <v>7672</v>
      </c>
      <c r="BU171" s="121">
        <v>142674.95000000001</v>
      </c>
      <c r="BV171" s="121">
        <v>127403.71</v>
      </c>
      <c r="BW171" s="121">
        <v>0</v>
      </c>
      <c r="BX171" s="121">
        <v>67796.19</v>
      </c>
      <c r="BY171" s="121">
        <v>0</v>
      </c>
      <c r="BZ171" s="121">
        <v>0</v>
      </c>
      <c r="CA171" s="121">
        <v>0</v>
      </c>
      <c r="CB171" s="121">
        <v>0</v>
      </c>
      <c r="CC171" s="121">
        <v>0</v>
      </c>
      <c r="CD171" s="121">
        <v>8645.4</v>
      </c>
      <c r="CE171" s="121">
        <v>0</v>
      </c>
      <c r="CF171" s="121">
        <v>0</v>
      </c>
      <c r="CG171" s="121">
        <v>0</v>
      </c>
      <c r="CH171" s="121">
        <v>0</v>
      </c>
      <c r="CI171" s="121">
        <v>8645.4</v>
      </c>
      <c r="CJ171" s="121">
        <v>0</v>
      </c>
      <c r="CK171" s="121">
        <v>0</v>
      </c>
      <c r="CL171" s="121">
        <v>208225.47999999995</v>
      </c>
      <c r="CM171" s="121"/>
      <c r="CN171" s="121">
        <v>0</v>
      </c>
      <c r="CO171" s="121">
        <v>0</v>
      </c>
      <c r="CP171" s="121">
        <v>0</v>
      </c>
      <c r="CQ171" s="121">
        <v>0</v>
      </c>
      <c r="CR171" s="118"/>
      <c r="CS171" s="33">
        <v>208225.47999999995</v>
      </c>
      <c r="CT171" s="33">
        <v>0</v>
      </c>
      <c r="CU171" s="65">
        <v>208225.48</v>
      </c>
      <c r="CV171" s="65">
        <v>0</v>
      </c>
      <c r="CW171" s="65">
        <v>0</v>
      </c>
      <c r="CX171" s="33">
        <v>0</v>
      </c>
      <c r="CY171" s="33">
        <v>208225.48</v>
      </c>
      <c r="CZ171" s="66">
        <v>0</v>
      </c>
      <c r="DA171" s="33">
        <v>0</v>
      </c>
      <c r="DB171" s="33">
        <v>2808.309999999532</v>
      </c>
      <c r="DC171" s="33">
        <v>0</v>
      </c>
      <c r="DF171" s="33">
        <v>-5.8207660913467407E-11</v>
      </c>
      <c r="DI171" s="33">
        <v>208225.47999999995</v>
      </c>
      <c r="DJ171" s="33">
        <v>0</v>
      </c>
      <c r="DK171" s="65">
        <v>208225.48</v>
      </c>
      <c r="DL171" s="65">
        <v>0</v>
      </c>
      <c r="DQ171" s="115">
        <v>3303307</v>
      </c>
      <c r="DS171" s="33">
        <v>0</v>
      </c>
      <c r="DT171" s="33">
        <v>2168625.41</v>
      </c>
      <c r="DU171" s="33">
        <v>2161488.4500000002</v>
      </c>
      <c r="DV171" s="33">
        <v>7136.9599999999627</v>
      </c>
      <c r="DW171" s="33">
        <v>8645.4</v>
      </c>
      <c r="DX171" s="33">
        <v>8645.4</v>
      </c>
      <c r="DY171" s="33">
        <v>0</v>
      </c>
    </row>
    <row r="172" spans="2:129" x14ac:dyDescent="0.35">
      <c r="B172" s="87">
        <v>3310</v>
      </c>
      <c r="C172" s="115">
        <v>3303310</v>
      </c>
      <c r="D172" s="116" t="s">
        <v>461</v>
      </c>
      <c r="E172" s="116" t="s">
        <v>462</v>
      </c>
      <c r="F172" s="117"/>
      <c r="G172" s="118"/>
      <c r="H172" s="115"/>
      <c r="I172" s="115"/>
      <c r="J172" s="115"/>
      <c r="K172" s="115"/>
      <c r="L172" s="115"/>
      <c r="M172" s="115"/>
      <c r="N172" s="115"/>
      <c r="O172" s="115"/>
      <c r="P172" s="115"/>
      <c r="Q172" s="115"/>
      <c r="R172" s="115"/>
      <c r="S172" s="119"/>
      <c r="T172" s="119"/>
      <c r="U172" s="119"/>
      <c r="V172" s="119"/>
      <c r="W172" s="119"/>
      <c r="X172" s="119"/>
      <c r="Y172" s="120">
        <v>109002.18</v>
      </c>
      <c r="Z172" s="120"/>
      <c r="AA172" s="120">
        <v>0</v>
      </c>
      <c r="AB172" s="121">
        <v>1342581.55</v>
      </c>
      <c r="AC172" s="121">
        <v>0</v>
      </c>
      <c r="AD172" s="121">
        <v>49442.5</v>
      </c>
      <c r="AE172" s="121">
        <v>0</v>
      </c>
      <c r="AF172" s="121">
        <v>187316.5</v>
      </c>
      <c r="AG172" s="121">
        <v>4656.93</v>
      </c>
      <c r="AH172" s="121">
        <v>0</v>
      </c>
      <c r="AI172" s="121">
        <v>0</v>
      </c>
      <c r="AJ172" s="121">
        <v>2135.7399999999998</v>
      </c>
      <c r="AK172" s="121">
        <v>0</v>
      </c>
      <c r="AL172" s="121">
        <v>0</v>
      </c>
      <c r="AM172" s="121">
        <v>0</v>
      </c>
      <c r="AN172" s="121">
        <v>0</v>
      </c>
      <c r="AO172" s="121">
        <v>4899.29</v>
      </c>
      <c r="AP172" s="121">
        <v>0</v>
      </c>
      <c r="AQ172" s="121">
        <v>0</v>
      </c>
      <c r="AR172" s="121">
        <v>0</v>
      </c>
      <c r="AS172" s="121">
        <v>0</v>
      </c>
      <c r="AT172" s="121">
        <v>0</v>
      </c>
      <c r="AU172" s="121">
        <v>30890</v>
      </c>
      <c r="AV172" s="121">
        <v>32154</v>
      </c>
      <c r="AW172" s="121">
        <v>658261.85</v>
      </c>
      <c r="AX172" s="121">
        <v>0</v>
      </c>
      <c r="AY172" s="121">
        <v>312574.94</v>
      </c>
      <c r="AZ172" s="121">
        <v>65834.559999999998</v>
      </c>
      <c r="BA172" s="121">
        <v>117911.81</v>
      </c>
      <c r="BB172" s="121">
        <v>0</v>
      </c>
      <c r="BC172" s="121">
        <v>42702.71</v>
      </c>
      <c r="BD172" s="121">
        <v>6467.58</v>
      </c>
      <c r="BE172" s="121">
        <v>4719.17</v>
      </c>
      <c r="BF172" s="121">
        <v>0</v>
      </c>
      <c r="BG172" s="121">
        <v>0</v>
      </c>
      <c r="BH172" s="121">
        <v>22802.19</v>
      </c>
      <c r="BI172" s="121">
        <v>3434.38</v>
      </c>
      <c r="BJ172" s="121">
        <v>3287.8</v>
      </c>
      <c r="BK172" s="121">
        <v>6537.82</v>
      </c>
      <c r="BL172" s="121">
        <v>61182.35</v>
      </c>
      <c r="BM172" s="121">
        <v>0</v>
      </c>
      <c r="BN172" s="121">
        <v>6933.75</v>
      </c>
      <c r="BO172" s="121">
        <v>26201.079999999631</v>
      </c>
      <c r="BP172" s="121">
        <v>17902.75</v>
      </c>
      <c r="BQ172" s="121">
        <v>3867.84</v>
      </c>
      <c r="BR172" s="121">
        <v>91892.65</v>
      </c>
      <c r="BS172" s="121">
        <v>4895</v>
      </c>
      <c r="BT172" s="121">
        <v>8602.2000000000007</v>
      </c>
      <c r="BU172" s="121">
        <v>135249.57999999999</v>
      </c>
      <c r="BV172" s="121">
        <v>49754.06</v>
      </c>
      <c r="BW172" s="121">
        <v>120</v>
      </c>
      <c r="BX172" s="121">
        <v>125276.81</v>
      </c>
      <c r="BY172" s="121">
        <v>0</v>
      </c>
      <c r="BZ172" s="121">
        <v>0</v>
      </c>
      <c r="CA172" s="121">
        <v>0</v>
      </c>
      <c r="CB172" s="121">
        <v>0</v>
      </c>
      <c r="CC172" s="121">
        <v>0</v>
      </c>
      <c r="CD172" s="121">
        <v>6915.24</v>
      </c>
      <c r="CE172" s="121">
        <v>0</v>
      </c>
      <c r="CF172" s="121">
        <v>0</v>
      </c>
      <c r="CG172" s="121">
        <v>0</v>
      </c>
      <c r="CH172" s="121">
        <v>0</v>
      </c>
      <c r="CI172" s="121">
        <v>6915.24</v>
      </c>
      <c r="CJ172" s="121">
        <v>0</v>
      </c>
      <c r="CK172" s="121">
        <v>0</v>
      </c>
      <c r="CL172" s="121">
        <v>-13334.189999999886</v>
      </c>
      <c r="CM172" s="121"/>
      <c r="CN172" s="121">
        <v>0</v>
      </c>
      <c r="CO172" s="121">
        <v>0</v>
      </c>
      <c r="CP172" s="121">
        <v>0</v>
      </c>
      <c r="CQ172" s="121">
        <v>0</v>
      </c>
      <c r="CR172" s="118"/>
      <c r="CS172" s="33">
        <v>-13334.189999999886</v>
      </c>
      <c r="CT172" s="33">
        <v>0</v>
      </c>
      <c r="CU172" s="65">
        <v>-13334.19</v>
      </c>
      <c r="CV172" s="65">
        <v>0</v>
      </c>
      <c r="CW172" s="65">
        <v>1.1459633242338896E-10</v>
      </c>
      <c r="CX172" s="33">
        <v>0</v>
      </c>
      <c r="CY172" s="33">
        <v>-13334.19</v>
      </c>
      <c r="CZ172" s="66">
        <v>0</v>
      </c>
      <c r="DA172" s="33">
        <v>0</v>
      </c>
      <c r="DB172" s="33">
        <v>0</v>
      </c>
      <c r="DC172" s="33">
        <v>-2.0000000369691406E-2</v>
      </c>
      <c r="DF172" s="33">
        <v>1.1459633242338896E-10</v>
      </c>
      <c r="DI172" s="33">
        <v>-13334.189999999886</v>
      </c>
      <c r="DJ172" s="33">
        <v>0</v>
      </c>
      <c r="DK172" s="65">
        <v>-13334.19</v>
      </c>
      <c r="DL172" s="65">
        <v>0</v>
      </c>
      <c r="DQ172" s="115">
        <v>3303310</v>
      </c>
      <c r="DS172" s="33">
        <v>0</v>
      </c>
      <c r="DT172" s="33">
        <v>1654076.51</v>
      </c>
      <c r="DU172" s="33">
        <v>1776412.88</v>
      </c>
      <c r="DV172" s="33">
        <v>-122336.36999999988</v>
      </c>
      <c r="DW172" s="33">
        <v>6915.24</v>
      </c>
      <c r="DX172" s="33">
        <v>6915.24</v>
      </c>
      <c r="DY172" s="33">
        <v>0</v>
      </c>
    </row>
    <row r="173" spans="2:129" x14ac:dyDescent="0.35">
      <c r="B173" s="87">
        <v>3317</v>
      </c>
      <c r="C173" s="115">
        <v>3303317</v>
      </c>
      <c r="D173" s="116" t="s">
        <v>463</v>
      </c>
      <c r="E173" s="116" t="s">
        <v>464</v>
      </c>
      <c r="F173" s="117"/>
      <c r="G173" s="118"/>
      <c r="H173" s="115"/>
      <c r="I173" s="115"/>
      <c r="J173" s="115"/>
      <c r="K173" s="115"/>
      <c r="L173" s="115"/>
      <c r="M173" s="115"/>
      <c r="N173" s="115"/>
      <c r="O173" s="115"/>
      <c r="P173" s="115"/>
      <c r="Q173" s="115"/>
      <c r="R173" s="115"/>
      <c r="S173" s="119"/>
      <c r="T173" s="119"/>
      <c r="U173" s="119"/>
      <c r="V173" s="119"/>
      <c r="W173" s="119"/>
      <c r="X173" s="119"/>
      <c r="Y173" s="120">
        <v>139707.09</v>
      </c>
      <c r="Z173" s="120"/>
      <c r="AA173" s="120">
        <v>0</v>
      </c>
      <c r="AB173" s="121">
        <v>1299243.93</v>
      </c>
      <c r="AC173" s="121">
        <v>0</v>
      </c>
      <c r="AD173" s="121">
        <v>45150</v>
      </c>
      <c r="AE173" s="121">
        <v>0</v>
      </c>
      <c r="AF173" s="121">
        <v>136391</v>
      </c>
      <c r="AG173" s="121">
        <v>600</v>
      </c>
      <c r="AH173" s="121">
        <v>0</v>
      </c>
      <c r="AI173" s="121">
        <v>0</v>
      </c>
      <c r="AJ173" s="121">
        <v>22215.15</v>
      </c>
      <c r="AK173" s="121">
        <v>0</v>
      </c>
      <c r="AL173" s="121">
        <v>0</v>
      </c>
      <c r="AM173" s="121">
        <v>0</v>
      </c>
      <c r="AN173" s="121">
        <v>0</v>
      </c>
      <c r="AO173" s="121">
        <v>0</v>
      </c>
      <c r="AP173" s="121">
        <v>0</v>
      </c>
      <c r="AQ173" s="121">
        <v>0</v>
      </c>
      <c r="AR173" s="121">
        <v>0</v>
      </c>
      <c r="AS173" s="121">
        <v>0</v>
      </c>
      <c r="AT173" s="121">
        <v>0</v>
      </c>
      <c r="AU173" s="121">
        <v>21663.759999999998</v>
      </c>
      <c r="AV173" s="121">
        <v>36985</v>
      </c>
      <c r="AW173" s="121">
        <v>635110.94999999995</v>
      </c>
      <c r="AX173" s="121">
        <v>0</v>
      </c>
      <c r="AY173" s="121">
        <v>318955.59000000003</v>
      </c>
      <c r="AZ173" s="121">
        <v>45525.97</v>
      </c>
      <c r="BA173" s="121">
        <v>80589.649999999994</v>
      </c>
      <c r="BB173" s="121">
        <v>0</v>
      </c>
      <c r="BC173" s="121">
        <v>17452.47</v>
      </c>
      <c r="BD173" s="121">
        <v>38.5</v>
      </c>
      <c r="BE173" s="121">
        <v>8784.4</v>
      </c>
      <c r="BF173" s="121">
        <v>0</v>
      </c>
      <c r="BG173" s="121">
        <v>0</v>
      </c>
      <c r="BH173" s="121">
        <v>34607.620000000003</v>
      </c>
      <c r="BI173" s="121">
        <v>16.21</v>
      </c>
      <c r="BJ173" s="121">
        <v>754.67</v>
      </c>
      <c r="BK173" s="121">
        <v>2957.89</v>
      </c>
      <c r="BL173" s="121">
        <v>33509.449999999997</v>
      </c>
      <c r="BM173" s="121">
        <v>0</v>
      </c>
      <c r="BN173" s="121">
        <v>9188.92</v>
      </c>
      <c r="BO173" s="121">
        <v>23835.730000000342</v>
      </c>
      <c r="BP173" s="121">
        <v>5189.05</v>
      </c>
      <c r="BQ173" s="121">
        <v>0</v>
      </c>
      <c r="BR173" s="121">
        <v>42280.75</v>
      </c>
      <c r="BS173" s="121">
        <v>4895</v>
      </c>
      <c r="BT173" s="121">
        <v>2220</v>
      </c>
      <c r="BU173" s="121">
        <v>106425.67</v>
      </c>
      <c r="BV173" s="121">
        <v>41969.41</v>
      </c>
      <c r="BW173" s="121">
        <v>0</v>
      </c>
      <c r="BX173" s="121">
        <v>149781.81</v>
      </c>
      <c r="BY173" s="121">
        <v>0</v>
      </c>
      <c r="BZ173" s="121">
        <v>0</v>
      </c>
      <c r="CA173" s="121">
        <v>0</v>
      </c>
      <c r="CB173" s="121">
        <v>0</v>
      </c>
      <c r="CC173" s="121">
        <v>0</v>
      </c>
      <c r="CD173" s="121">
        <v>6859.35</v>
      </c>
      <c r="CE173" s="121">
        <v>0</v>
      </c>
      <c r="CF173" s="121">
        <v>0</v>
      </c>
      <c r="CG173" s="121">
        <v>0</v>
      </c>
      <c r="CH173" s="121">
        <v>0</v>
      </c>
      <c r="CI173" s="121">
        <v>6859.35</v>
      </c>
      <c r="CJ173" s="121">
        <v>0</v>
      </c>
      <c r="CK173" s="121">
        <v>0</v>
      </c>
      <c r="CL173" s="121">
        <v>137866.21999999988</v>
      </c>
      <c r="CM173" s="121"/>
      <c r="CN173" s="121">
        <v>0</v>
      </c>
      <c r="CO173" s="121">
        <v>0</v>
      </c>
      <c r="CP173" s="121">
        <v>0</v>
      </c>
      <c r="CQ173" s="121">
        <v>0</v>
      </c>
      <c r="CR173" s="118"/>
      <c r="CS173" s="33">
        <v>137866.21999999988</v>
      </c>
      <c r="CT173" s="33">
        <v>0</v>
      </c>
      <c r="CU173" s="65">
        <v>137866.22</v>
      </c>
      <c r="CV173" s="65">
        <v>0</v>
      </c>
      <c r="CW173" s="65">
        <v>0</v>
      </c>
      <c r="CX173" s="33">
        <v>0</v>
      </c>
      <c r="CY173" s="33">
        <v>137866.22</v>
      </c>
      <c r="CZ173" s="66">
        <v>0</v>
      </c>
      <c r="DA173" s="33">
        <v>0</v>
      </c>
      <c r="DB173" s="33">
        <v>0</v>
      </c>
      <c r="DC173" s="33">
        <v>-9.9999996600672603E-3</v>
      </c>
      <c r="DF173" s="33">
        <v>-1.1641532182693481E-10</v>
      </c>
      <c r="DI173" s="33">
        <v>137866.21999999988</v>
      </c>
      <c r="DJ173" s="33">
        <v>0</v>
      </c>
      <c r="DK173" s="65">
        <v>137866.22</v>
      </c>
      <c r="DL173" s="65">
        <v>0</v>
      </c>
      <c r="DQ173" s="115">
        <v>3303317</v>
      </c>
      <c r="DS173" s="33">
        <v>0</v>
      </c>
      <c r="DT173" s="33">
        <v>1562248.8399999999</v>
      </c>
      <c r="DU173" s="33">
        <v>1564089.71</v>
      </c>
      <c r="DV173" s="33">
        <v>-1840.8700000001118</v>
      </c>
      <c r="DW173" s="33">
        <v>6859.35</v>
      </c>
      <c r="DX173" s="33">
        <v>6859.35</v>
      </c>
      <c r="DY173" s="33">
        <v>0</v>
      </c>
    </row>
    <row r="174" spans="2:129" x14ac:dyDescent="0.35">
      <c r="B174" s="87">
        <v>3319</v>
      </c>
      <c r="C174" s="115">
        <v>3303319</v>
      </c>
      <c r="D174" s="116" t="s">
        <v>465</v>
      </c>
      <c r="E174" s="116" t="s">
        <v>466</v>
      </c>
      <c r="F174" s="117"/>
      <c r="G174" s="118"/>
      <c r="H174" s="115"/>
      <c r="I174" s="115"/>
      <c r="J174" s="115"/>
      <c r="K174" s="115"/>
      <c r="L174" s="115"/>
      <c r="M174" s="115"/>
      <c r="N174" s="115"/>
      <c r="O174" s="115"/>
      <c r="P174" s="115"/>
      <c r="Q174" s="115"/>
      <c r="R174" s="115"/>
      <c r="S174" s="119"/>
      <c r="T174" s="119"/>
      <c r="U174" s="119"/>
      <c r="V174" s="119"/>
      <c r="W174" s="119"/>
      <c r="X174" s="119"/>
      <c r="Y174" s="120">
        <v>117371.03</v>
      </c>
      <c r="Z174" s="120"/>
      <c r="AA174" s="120">
        <v>0</v>
      </c>
      <c r="AB174" s="121">
        <v>2092934.47</v>
      </c>
      <c r="AC174" s="121">
        <v>0</v>
      </c>
      <c r="AD174" s="121">
        <v>94598.34</v>
      </c>
      <c r="AE174" s="121">
        <v>0</v>
      </c>
      <c r="AF174" s="121">
        <v>221160</v>
      </c>
      <c r="AG174" s="121">
        <v>856.93</v>
      </c>
      <c r="AH174" s="121">
        <v>0</v>
      </c>
      <c r="AI174" s="121">
        <v>0</v>
      </c>
      <c r="AJ174" s="121">
        <v>14724.689999999368</v>
      </c>
      <c r="AK174" s="121">
        <v>23097.95</v>
      </c>
      <c r="AL174" s="121">
        <v>0</v>
      </c>
      <c r="AM174" s="121">
        <v>0</v>
      </c>
      <c r="AN174" s="121">
        <v>0</v>
      </c>
      <c r="AO174" s="121">
        <v>45980</v>
      </c>
      <c r="AP174" s="121">
        <v>0</v>
      </c>
      <c r="AQ174" s="121">
        <v>0</v>
      </c>
      <c r="AR174" s="121">
        <v>0</v>
      </c>
      <c r="AS174" s="121">
        <v>0</v>
      </c>
      <c r="AT174" s="121">
        <v>0</v>
      </c>
      <c r="AU174" s="121">
        <v>12265.13</v>
      </c>
      <c r="AV174" s="121">
        <v>62931</v>
      </c>
      <c r="AW174" s="121">
        <v>1271110.5</v>
      </c>
      <c r="AX174" s="121">
        <v>10233</v>
      </c>
      <c r="AY174" s="121">
        <v>517728.07</v>
      </c>
      <c r="AZ174" s="121">
        <v>29662.21</v>
      </c>
      <c r="BA174" s="121">
        <v>92703.29</v>
      </c>
      <c r="BB174" s="121">
        <v>0</v>
      </c>
      <c r="BC174" s="121">
        <v>100513.45</v>
      </c>
      <c r="BD174" s="121">
        <v>40</v>
      </c>
      <c r="BE174" s="121">
        <v>7115</v>
      </c>
      <c r="BF174" s="121">
        <v>0</v>
      </c>
      <c r="BG174" s="121">
        <v>0</v>
      </c>
      <c r="BH174" s="121">
        <v>35242.18</v>
      </c>
      <c r="BI174" s="121">
        <v>0</v>
      </c>
      <c r="BJ174" s="121">
        <v>29216.93</v>
      </c>
      <c r="BK174" s="121">
        <v>5801.12</v>
      </c>
      <c r="BL174" s="121">
        <v>28784.19</v>
      </c>
      <c r="BM174" s="121">
        <v>5094.1400000000003</v>
      </c>
      <c r="BN174" s="121">
        <v>4125.2700000000004</v>
      </c>
      <c r="BO174" s="121">
        <v>58019.03</v>
      </c>
      <c r="BP174" s="121">
        <v>18180.900000000001</v>
      </c>
      <c r="BQ174" s="121">
        <v>0</v>
      </c>
      <c r="BR174" s="121">
        <v>72202.94</v>
      </c>
      <c r="BS174" s="121">
        <v>4895</v>
      </c>
      <c r="BT174" s="121">
        <v>4291.2</v>
      </c>
      <c r="BU174" s="121">
        <v>137270.22</v>
      </c>
      <c r="BV174" s="121">
        <v>70861</v>
      </c>
      <c r="BW174" s="121">
        <v>1478.4</v>
      </c>
      <c r="BX174" s="121">
        <v>209547.82</v>
      </c>
      <c r="BY174" s="121">
        <v>0</v>
      </c>
      <c r="BZ174" s="121">
        <v>0</v>
      </c>
      <c r="CA174" s="121">
        <v>0</v>
      </c>
      <c r="CB174" s="121">
        <v>0</v>
      </c>
      <c r="CC174" s="121">
        <v>0</v>
      </c>
      <c r="CD174" s="121">
        <v>9114.39</v>
      </c>
      <c r="CE174" s="121">
        <v>0</v>
      </c>
      <c r="CF174" s="121">
        <v>0</v>
      </c>
      <c r="CG174" s="121">
        <v>0</v>
      </c>
      <c r="CH174" s="121">
        <v>0</v>
      </c>
      <c r="CI174" s="121">
        <v>9114.39</v>
      </c>
      <c r="CJ174" s="121">
        <v>0</v>
      </c>
      <c r="CK174" s="121">
        <v>0</v>
      </c>
      <c r="CL174" s="121">
        <v>-28196.320000000094</v>
      </c>
      <c r="CM174" s="121"/>
      <c r="CN174" s="121">
        <v>0</v>
      </c>
      <c r="CO174" s="121">
        <v>0</v>
      </c>
      <c r="CP174" s="121">
        <v>0</v>
      </c>
      <c r="CQ174" s="121">
        <v>0</v>
      </c>
      <c r="CR174" s="118"/>
      <c r="CS174" s="33">
        <v>-28196.320000000094</v>
      </c>
      <c r="CT174" s="33">
        <v>0</v>
      </c>
      <c r="CU174" s="65">
        <v>-28196.32</v>
      </c>
      <c r="CV174" s="65">
        <v>0</v>
      </c>
      <c r="CW174" s="65">
        <v>-9.4587448984384537E-11</v>
      </c>
      <c r="CX174" s="33">
        <v>0</v>
      </c>
      <c r="CY174" s="33">
        <v>-28196.32</v>
      </c>
      <c r="CZ174" s="66">
        <v>0</v>
      </c>
      <c r="DA174" s="33">
        <v>0</v>
      </c>
      <c r="DB174" s="33">
        <v>3.0000000631844159E-2</v>
      </c>
      <c r="DC174" s="33">
        <v>0</v>
      </c>
      <c r="DF174" s="33">
        <v>-9.4587448984384537E-11</v>
      </c>
      <c r="DI174" s="33">
        <v>-28196.320000000094</v>
      </c>
      <c r="DJ174" s="33">
        <v>0</v>
      </c>
      <c r="DK174" s="65">
        <v>-28196.32</v>
      </c>
      <c r="DL174" s="65">
        <v>0</v>
      </c>
      <c r="DQ174" s="115">
        <v>3303319</v>
      </c>
      <c r="DS174" s="33">
        <v>0</v>
      </c>
      <c r="DT174" s="33">
        <v>2568548.5099999998</v>
      </c>
      <c r="DU174" s="33">
        <v>2714115.86</v>
      </c>
      <c r="DV174" s="33">
        <v>-145567.35000000009</v>
      </c>
      <c r="DW174" s="33">
        <v>9114.39</v>
      </c>
      <c r="DX174" s="33">
        <v>9114.39</v>
      </c>
      <c r="DY174" s="33">
        <v>0</v>
      </c>
    </row>
    <row r="175" spans="2:129" x14ac:dyDescent="0.35">
      <c r="B175" s="87">
        <v>3322</v>
      </c>
      <c r="C175" s="115">
        <v>3303322</v>
      </c>
      <c r="D175" s="116" t="s">
        <v>467</v>
      </c>
      <c r="E175" s="116" t="s">
        <v>468</v>
      </c>
      <c r="F175" s="117"/>
      <c r="G175" s="118"/>
      <c r="H175" s="115"/>
      <c r="I175" s="115"/>
      <c r="J175" s="115"/>
      <c r="K175" s="115"/>
      <c r="L175" s="115"/>
      <c r="M175" s="115"/>
      <c r="N175" s="115"/>
      <c r="O175" s="115"/>
      <c r="P175" s="115"/>
      <c r="Q175" s="115"/>
      <c r="R175" s="115"/>
      <c r="S175" s="119"/>
      <c r="T175" s="119"/>
      <c r="U175" s="119"/>
      <c r="V175" s="119"/>
      <c r="W175" s="119"/>
      <c r="X175" s="119"/>
      <c r="Y175" s="120">
        <v>133769.17000000001</v>
      </c>
      <c r="Z175" s="120"/>
      <c r="AA175" s="120">
        <v>13482.24</v>
      </c>
      <c r="AB175" s="121">
        <v>1186152.3500000001</v>
      </c>
      <c r="AC175" s="121">
        <v>0</v>
      </c>
      <c r="AD175" s="121">
        <v>41138.449999999997</v>
      </c>
      <c r="AE175" s="121">
        <v>0</v>
      </c>
      <c r="AF175" s="121">
        <v>120340</v>
      </c>
      <c r="AG175" s="121">
        <v>0</v>
      </c>
      <c r="AH175" s="121">
        <v>0</v>
      </c>
      <c r="AI175" s="121">
        <v>0</v>
      </c>
      <c r="AJ175" s="121">
        <v>65523.47</v>
      </c>
      <c r="AK175" s="121">
        <v>7290.91</v>
      </c>
      <c r="AL175" s="121">
        <v>0</v>
      </c>
      <c r="AM175" s="121">
        <v>0</v>
      </c>
      <c r="AN175" s="121">
        <v>10077.870000000001</v>
      </c>
      <c r="AO175" s="121">
        <v>0</v>
      </c>
      <c r="AP175" s="121">
        <v>0</v>
      </c>
      <c r="AQ175" s="121">
        <v>0</v>
      </c>
      <c r="AR175" s="121">
        <v>0</v>
      </c>
      <c r="AS175" s="121">
        <v>0</v>
      </c>
      <c r="AT175" s="121">
        <v>0</v>
      </c>
      <c r="AU175" s="121">
        <v>15160.5</v>
      </c>
      <c r="AV175" s="121">
        <v>45950</v>
      </c>
      <c r="AW175" s="121">
        <v>645375.06000000006</v>
      </c>
      <c r="AX175" s="121">
        <v>0</v>
      </c>
      <c r="AY175" s="121">
        <v>294013.34000000003</v>
      </c>
      <c r="AZ175" s="121">
        <v>44992.68</v>
      </c>
      <c r="BA175" s="121">
        <v>53910.69</v>
      </c>
      <c r="BB175" s="121">
        <v>0</v>
      </c>
      <c r="BC175" s="121">
        <v>43019.86</v>
      </c>
      <c r="BD175" s="121">
        <v>502.35</v>
      </c>
      <c r="BE175" s="121">
        <v>9093.2000000000007</v>
      </c>
      <c r="BF175" s="121">
        <v>0</v>
      </c>
      <c r="BG175" s="121">
        <v>0</v>
      </c>
      <c r="BH175" s="121">
        <v>120491.23</v>
      </c>
      <c r="BI175" s="121">
        <v>526.24</v>
      </c>
      <c r="BJ175" s="121">
        <v>3969.76</v>
      </c>
      <c r="BK175" s="121">
        <v>9486.15</v>
      </c>
      <c r="BL175" s="121">
        <v>16305.37</v>
      </c>
      <c r="BM175" s="121">
        <v>3704.83</v>
      </c>
      <c r="BN175" s="121">
        <v>1583.4</v>
      </c>
      <c r="BO175" s="121">
        <v>43652.099999999817</v>
      </c>
      <c r="BP175" s="121">
        <v>12400.57</v>
      </c>
      <c r="BQ175" s="121">
        <v>0</v>
      </c>
      <c r="BR175" s="121">
        <v>34050.58</v>
      </c>
      <c r="BS175" s="121">
        <v>4895</v>
      </c>
      <c r="BT175" s="121">
        <v>3677.5</v>
      </c>
      <c r="BU175" s="121">
        <v>128319.16</v>
      </c>
      <c r="BV175" s="121">
        <v>60112.94</v>
      </c>
      <c r="BW175" s="121">
        <v>22348.17</v>
      </c>
      <c r="BX175" s="121">
        <v>40839.300000000003</v>
      </c>
      <c r="BY175" s="121">
        <v>0</v>
      </c>
      <c r="BZ175" s="121">
        <v>0</v>
      </c>
      <c r="CA175" s="121">
        <v>0</v>
      </c>
      <c r="CB175" s="121">
        <v>0</v>
      </c>
      <c r="CC175" s="121">
        <v>0</v>
      </c>
      <c r="CD175" s="121">
        <v>7000.29</v>
      </c>
      <c r="CE175" s="121">
        <v>0</v>
      </c>
      <c r="CF175" s="121">
        <v>0</v>
      </c>
      <c r="CG175" s="121">
        <v>0</v>
      </c>
      <c r="CH175" s="121">
        <v>0</v>
      </c>
      <c r="CI175" s="121">
        <v>7000.29</v>
      </c>
      <c r="CJ175" s="121">
        <v>0</v>
      </c>
      <c r="CK175" s="121"/>
      <c r="CL175" s="121">
        <v>28133.239999999845</v>
      </c>
      <c r="CM175" s="121"/>
      <c r="CN175" s="121">
        <v>13482.24</v>
      </c>
      <c r="CO175" s="121">
        <v>0</v>
      </c>
      <c r="CP175" s="121">
        <v>0</v>
      </c>
      <c r="CQ175" s="121">
        <v>0</v>
      </c>
      <c r="CR175" s="118"/>
      <c r="CS175" s="33">
        <v>28133.239999999845</v>
      </c>
      <c r="CT175" s="33">
        <v>13482.24</v>
      </c>
      <c r="CU175" s="65">
        <v>28133.24</v>
      </c>
      <c r="CV175" s="65">
        <v>13482.24</v>
      </c>
      <c r="CW175" s="65">
        <v>-1.5643308870494366E-10</v>
      </c>
      <c r="CX175" s="33">
        <v>0</v>
      </c>
      <c r="CY175" s="33">
        <v>41615.480000000003</v>
      </c>
      <c r="CZ175" s="66">
        <v>-13482.239999999996</v>
      </c>
      <c r="DA175" s="33">
        <v>-13482.239999999996</v>
      </c>
      <c r="DB175" s="33">
        <v>0</v>
      </c>
      <c r="DC175" s="33">
        <v>-3.0000000184372766E-2</v>
      </c>
      <c r="DF175" s="33">
        <v>-1.5825207810848951E-10</v>
      </c>
      <c r="DI175" s="33">
        <v>28133.239999999845</v>
      </c>
      <c r="DJ175" s="33">
        <v>13482.24</v>
      </c>
      <c r="DK175" s="65">
        <v>28133.24</v>
      </c>
      <c r="DL175" s="65">
        <v>13482.24</v>
      </c>
      <c r="DQ175" s="115">
        <v>3303322</v>
      </c>
      <c r="DS175" s="33">
        <v>0</v>
      </c>
      <c r="DT175" s="33">
        <v>1491633.55</v>
      </c>
      <c r="DU175" s="33">
        <v>1597269.4800000002</v>
      </c>
      <c r="DV175" s="33">
        <v>-105635.93000000017</v>
      </c>
      <c r="DW175" s="33">
        <v>7000.29</v>
      </c>
      <c r="DX175" s="33">
        <v>7000.29</v>
      </c>
      <c r="DY175" s="33">
        <v>0</v>
      </c>
    </row>
    <row r="176" spans="2:129" x14ac:dyDescent="0.35">
      <c r="B176" s="87">
        <v>3323</v>
      </c>
      <c r="C176" s="115">
        <v>3303323</v>
      </c>
      <c r="D176" s="116" t="s">
        <v>469</v>
      </c>
      <c r="E176" s="116" t="s">
        <v>470</v>
      </c>
      <c r="F176" s="117"/>
      <c r="G176" s="118"/>
      <c r="H176" s="115"/>
      <c r="I176" s="115"/>
      <c r="J176" s="115"/>
      <c r="K176" s="115"/>
      <c r="L176" s="115"/>
      <c r="M176" s="115"/>
      <c r="N176" s="115"/>
      <c r="O176" s="115"/>
      <c r="P176" s="115"/>
      <c r="Q176" s="115"/>
      <c r="R176" s="115"/>
      <c r="S176" s="119"/>
      <c r="T176" s="119"/>
      <c r="U176" s="119"/>
      <c r="V176" s="119"/>
      <c r="W176" s="119"/>
      <c r="X176" s="119"/>
      <c r="Y176" s="120">
        <v>181701.24</v>
      </c>
      <c r="Z176" s="120"/>
      <c r="AA176" s="120">
        <v>0</v>
      </c>
      <c r="AB176" s="121">
        <v>1191382.5</v>
      </c>
      <c r="AC176" s="121">
        <v>0</v>
      </c>
      <c r="AD176" s="121">
        <v>99278.75</v>
      </c>
      <c r="AE176" s="121">
        <v>0</v>
      </c>
      <c r="AF176" s="121">
        <v>137105.5</v>
      </c>
      <c r="AG176" s="121">
        <v>3600</v>
      </c>
      <c r="AH176" s="121">
        <v>0</v>
      </c>
      <c r="AI176" s="121">
        <v>0</v>
      </c>
      <c r="AJ176" s="121">
        <v>36942.079999999944</v>
      </c>
      <c r="AK176" s="121">
        <v>7439.91</v>
      </c>
      <c r="AL176" s="121">
        <v>0</v>
      </c>
      <c r="AM176" s="121">
        <v>0</v>
      </c>
      <c r="AN176" s="121">
        <v>3448.82</v>
      </c>
      <c r="AO176" s="121">
        <v>0</v>
      </c>
      <c r="AP176" s="121">
        <v>0</v>
      </c>
      <c r="AQ176" s="121">
        <v>0</v>
      </c>
      <c r="AR176" s="121">
        <v>0</v>
      </c>
      <c r="AS176" s="121">
        <v>0</v>
      </c>
      <c r="AT176" s="121">
        <v>0</v>
      </c>
      <c r="AU176" s="121">
        <v>10753.46</v>
      </c>
      <c r="AV176" s="121">
        <v>38389</v>
      </c>
      <c r="AW176" s="121">
        <v>512892.34</v>
      </c>
      <c r="AX176" s="121">
        <v>0</v>
      </c>
      <c r="AY176" s="121">
        <v>150517.70000000001</v>
      </c>
      <c r="AZ176" s="121">
        <v>66582.5</v>
      </c>
      <c r="BA176" s="121">
        <v>83803.539999999994</v>
      </c>
      <c r="BB176" s="121">
        <v>0</v>
      </c>
      <c r="BC176" s="121">
        <v>19290.91</v>
      </c>
      <c r="BD176" s="121">
        <v>4390.7</v>
      </c>
      <c r="BE176" s="121">
        <v>7263</v>
      </c>
      <c r="BF176" s="121">
        <v>0</v>
      </c>
      <c r="BG176" s="121">
        <v>0</v>
      </c>
      <c r="BH176" s="121">
        <v>41754.86</v>
      </c>
      <c r="BI176" s="121">
        <v>3130.32</v>
      </c>
      <c r="BJ176" s="121">
        <v>4000.71</v>
      </c>
      <c r="BK176" s="121">
        <v>3588.95</v>
      </c>
      <c r="BL176" s="121">
        <v>38949.730000000003</v>
      </c>
      <c r="BM176" s="121">
        <v>4116.4799999999996</v>
      </c>
      <c r="BN176" s="121">
        <v>0</v>
      </c>
      <c r="BO176" s="121">
        <v>28135.81</v>
      </c>
      <c r="BP176" s="121">
        <v>17692.12</v>
      </c>
      <c r="BQ176" s="121">
        <v>0</v>
      </c>
      <c r="BR176" s="121">
        <v>12063.35</v>
      </c>
      <c r="BS176" s="121">
        <v>4895</v>
      </c>
      <c r="BT176" s="121">
        <v>3836</v>
      </c>
      <c r="BU176" s="121">
        <v>95304.07</v>
      </c>
      <c r="BV176" s="121">
        <v>219550.12</v>
      </c>
      <c r="BW176" s="121">
        <v>0</v>
      </c>
      <c r="BX176" s="121">
        <v>156096.51999999999</v>
      </c>
      <c r="BY176" s="121">
        <v>0</v>
      </c>
      <c r="BZ176" s="121">
        <v>0</v>
      </c>
      <c r="CA176" s="121">
        <v>0</v>
      </c>
      <c r="CB176" s="121">
        <v>0</v>
      </c>
      <c r="CC176" s="121">
        <v>0</v>
      </c>
      <c r="CD176" s="121">
        <v>6949.26</v>
      </c>
      <c r="CE176" s="121">
        <v>0</v>
      </c>
      <c r="CF176" s="121">
        <v>0</v>
      </c>
      <c r="CG176" s="121">
        <v>0</v>
      </c>
      <c r="CH176" s="121">
        <v>0</v>
      </c>
      <c r="CI176" s="121">
        <v>6949.26</v>
      </c>
      <c r="CJ176" s="121">
        <v>0</v>
      </c>
      <c r="CK176" s="121">
        <v>0</v>
      </c>
      <c r="CL176" s="121">
        <v>232186.5299999998</v>
      </c>
      <c r="CM176" s="121"/>
      <c r="CN176" s="121">
        <v>0</v>
      </c>
      <c r="CO176" s="121">
        <v>0</v>
      </c>
      <c r="CP176" s="121">
        <v>0</v>
      </c>
      <c r="CQ176" s="121">
        <v>0</v>
      </c>
      <c r="CR176" s="118"/>
      <c r="CS176" s="33">
        <v>232186.5299999998</v>
      </c>
      <c r="CT176" s="33">
        <v>0</v>
      </c>
      <c r="CU176" s="65">
        <v>232186.53</v>
      </c>
      <c r="CV176" s="65">
        <v>0</v>
      </c>
      <c r="CW176" s="65">
        <v>0</v>
      </c>
      <c r="CX176" s="33">
        <v>0</v>
      </c>
      <c r="CY176" s="33">
        <v>232186.53</v>
      </c>
      <c r="CZ176" s="66">
        <v>0</v>
      </c>
      <c r="DA176" s="33">
        <v>0</v>
      </c>
      <c r="DB176" s="33">
        <v>3.0000000057043508E-2</v>
      </c>
      <c r="DC176" s="33">
        <v>0</v>
      </c>
      <c r="DF176" s="33">
        <v>-2.0372681319713593E-10</v>
      </c>
      <c r="DI176" s="33">
        <v>232186.5299999998</v>
      </c>
      <c r="DJ176" s="33">
        <v>0</v>
      </c>
      <c r="DK176" s="65">
        <v>232186.53</v>
      </c>
      <c r="DL176" s="65">
        <v>0</v>
      </c>
      <c r="DQ176" s="115">
        <v>3303323</v>
      </c>
      <c r="DS176" s="33">
        <v>0</v>
      </c>
      <c r="DT176" s="33">
        <v>1528340.0199999998</v>
      </c>
      <c r="DU176" s="33">
        <v>1477854.73</v>
      </c>
      <c r="DV176" s="33">
        <v>50485.289999999804</v>
      </c>
      <c r="DW176" s="33">
        <v>6949.26</v>
      </c>
      <c r="DX176" s="33">
        <v>6949.26</v>
      </c>
      <c r="DY176" s="33">
        <v>0</v>
      </c>
    </row>
    <row r="177" spans="2:129" x14ac:dyDescent="0.35">
      <c r="B177" s="87">
        <v>3329</v>
      </c>
      <c r="C177" s="115">
        <v>3303329</v>
      </c>
      <c r="D177" s="116" t="s">
        <v>471</v>
      </c>
      <c r="E177" s="116" t="s">
        <v>472</v>
      </c>
      <c r="F177" s="117"/>
      <c r="G177" s="118"/>
      <c r="H177" s="115"/>
      <c r="I177" s="115"/>
      <c r="J177" s="115"/>
      <c r="K177" s="115"/>
      <c r="L177" s="115"/>
      <c r="M177" s="115"/>
      <c r="N177" s="115"/>
      <c r="O177" s="115"/>
      <c r="P177" s="115"/>
      <c r="Q177" s="115"/>
      <c r="R177" s="115"/>
      <c r="S177" s="119"/>
      <c r="T177" s="119"/>
      <c r="U177" s="119"/>
      <c r="V177" s="119"/>
      <c r="W177" s="119"/>
      <c r="X177" s="119"/>
      <c r="Y177" s="120">
        <v>85387.91</v>
      </c>
      <c r="Z177" s="120"/>
      <c r="AA177" s="120">
        <v>0</v>
      </c>
      <c r="AB177" s="121">
        <v>1334995.45</v>
      </c>
      <c r="AC177" s="121">
        <v>0</v>
      </c>
      <c r="AD177" s="121">
        <v>67482</v>
      </c>
      <c r="AE177" s="121">
        <v>0</v>
      </c>
      <c r="AF177" s="121">
        <v>148031</v>
      </c>
      <c r="AG177" s="121">
        <v>200</v>
      </c>
      <c r="AH177" s="121">
        <v>0</v>
      </c>
      <c r="AI177" s="121">
        <v>0</v>
      </c>
      <c r="AJ177" s="121">
        <v>1478.6999999998691</v>
      </c>
      <c r="AK177" s="121">
        <v>0</v>
      </c>
      <c r="AL177" s="121">
        <v>0</v>
      </c>
      <c r="AM177" s="121">
        <v>0</v>
      </c>
      <c r="AN177" s="121">
        <v>9047.2000000000007</v>
      </c>
      <c r="AO177" s="121">
        <v>0</v>
      </c>
      <c r="AP177" s="121">
        <v>0</v>
      </c>
      <c r="AQ177" s="121">
        <v>0</v>
      </c>
      <c r="AR177" s="121">
        <v>0</v>
      </c>
      <c r="AS177" s="121">
        <v>0</v>
      </c>
      <c r="AT177" s="121">
        <v>0</v>
      </c>
      <c r="AU177" s="121">
        <v>11258.76</v>
      </c>
      <c r="AV177" s="121">
        <v>38321</v>
      </c>
      <c r="AW177" s="121">
        <v>704515.66</v>
      </c>
      <c r="AX177" s="121">
        <v>0</v>
      </c>
      <c r="AY177" s="121">
        <v>266088.02</v>
      </c>
      <c r="AZ177" s="121">
        <v>65871.520000000004</v>
      </c>
      <c r="BA177" s="121">
        <v>122010.93</v>
      </c>
      <c r="BB177" s="121">
        <v>0</v>
      </c>
      <c r="BC177" s="121">
        <v>63422.73</v>
      </c>
      <c r="BD177" s="121">
        <v>0</v>
      </c>
      <c r="BE177" s="121">
        <v>0</v>
      </c>
      <c r="BF177" s="121">
        <v>0</v>
      </c>
      <c r="BG177" s="121">
        <v>0</v>
      </c>
      <c r="BH177" s="121">
        <v>0</v>
      </c>
      <c r="BI177" s="121">
        <v>0</v>
      </c>
      <c r="BJ177" s="121">
        <v>774.25</v>
      </c>
      <c r="BK177" s="121">
        <v>1804.2</v>
      </c>
      <c r="BL177" s="121">
        <v>42953.88</v>
      </c>
      <c r="BM177" s="121">
        <v>0</v>
      </c>
      <c r="BN177" s="121">
        <v>1450.2</v>
      </c>
      <c r="BO177" s="121">
        <v>72080.92</v>
      </c>
      <c r="BP177" s="121">
        <v>0</v>
      </c>
      <c r="BQ177" s="121">
        <v>1953.84</v>
      </c>
      <c r="BR177" s="121">
        <v>19890.41</v>
      </c>
      <c r="BS177" s="121">
        <v>4895</v>
      </c>
      <c r="BT177" s="121">
        <v>0</v>
      </c>
      <c r="BU177" s="121">
        <v>120633.4</v>
      </c>
      <c r="BV177" s="121">
        <v>36900.57</v>
      </c>
      <c r="BW177" s="121">
        <v>0</v>
      </c>
      <c r="BX177" s="121">
        <v>90558.95</v>
      </c>
      <c r="BY177" s="121">
        <v>0</v>
      </c>
      <c r="BZ177" s="121">
        <v>0</v>
      </c>
      <c r="CA177" s="121">
        <v>0</v>
      </c>
      <c r="CB177" s="121">
        <v>0</v>
      </c>
      <c r="CC177" s="121">
        <v>0</v>
      </c>
      <c r="CD177" s="121">
        <v>7133.94</v>
      </c>
      <c r="CE177" s="121">
        <v>0</v>
      </c>
      <c r="CF177" s="121">
        <v>0</v>
      </c>
      <c r="CG177" s="121">
        <v>0</v>
      </c>
      <c r="CH177" s="121">
        <v>0</v>
      </c>
      <c r="CI177" s="121">
        <v>7133.94</v>
      </c>
      <c r="CJ177" s="121">
        <v>0</v>
      </c>
      <c r="CK177" s="121">
        <v>0</v>
      </c>
      <c r="CL177" s="121">
        <v>80397.540000000125</v>
      </c>
      <c r="CM177" s="121"/>
      <c r="CN177" s="121">
        <v>0</v>
      </c>
      <c r="CO177" s="121">
        <v>0</v>
      </c>
      <c r="CP177" s="121">
        <v>0</v>
      </c>
      <c r="CQ177" s="121">
        <v>0</v>
      </c>
      <c r="CR177" s="118"/>
      <c r="CS177" s="33">
        <v>80397.540000000125</v>
      </c>
      <c r="CT177" s="33">
        <v>0</v>
      </c>
      <c r="CU177" s="65">
        <v>80397.539999999994</v>
      </c>
      <c r="CV177" s="65">
        <v>0</v>
      </c>
      <c r="CW177" s="65">
        <v>1.3096723705530167E-10</v>
      </c>
      <c r="CX177" s="33">
        <v>0</v>
      </c>
      <c r="CY177" s="33">
        <v>80397.539999999994</v>
      </c>
      <c r="CZ177" s="66">
        <v>0</v>
      </c>
      <c r="DA177" s="33">
        <v>0</v>
      </c>
      <c r="DB177" s="33">
        <v>1.3096723705530167E-10</v>
      </c>
      <c r="DC177" s="33">
        <v>0</v>
      </c>
      <c r="DF177" s="33">
        <v>1.3096723705530167E-10</v>
      </c>
      <c r="DI177" s="33">
        <v>80397.540000000125</v>
      </c>
      <c r="DJ177" s="33">
        <v>0</v>
      </c>
      <c r="DK177" s="65">
        <v>80397.539999999994</v>
      </c>
      <c r="DL177" s="65">
        <v>0</v>
      </c>
      <c r="DQ177" s="115">
        <v>3303329</v>
      </c>
      <c r="DS177" s="33">
        <v>0</v>
      </c>
      <c r="DT177" s="33">
        <v>1610814.1099999999</v>
      </c>
      <c r="DU177" s="33">
        <v>1615804.4799999997</v>
      </c>
      <c r="DV177" s="33">
        <v>-4990.3699999998789</v>
      </c>
      <c r="DW177" s="33">
        <v>7133.94</v>
      </c>
      <c r="DX177" s="33">
        <v>7133.94</v>
      </c>
      <c r="DY177" s="33">
        <v>0</v>
      </c>
    </row>
    <row r="178" spans="2:129" x14ac:dyDescent="0.35">
      <c r="B178" s="87">
        <v>3331</v>
      </c>
      <c r="C178" s="115">
        <v>3303331</v>
      </c>
      <c r="D178" s="116" t="s">
        <v>473</v>
      </c>
      <c r="E178" s="116" t="s">
        <v>474</v>
      </c>
      <c r="F178" s="117"/>
      <c r="G178" s="118"/>
      <c r="H178" s="115"/>
      <c r="I178" s="115"/>
      <c r="J178" s="115"/>
      <c r="K178" s="115"/>
      <c r="L178" s="115"/>
      <c r="M178" s="115"/>
      <c r="N178" s="115"/>
      <c r="O178" s="115"/>
      <c r="P178" s="115"/>
      <c r="Q178" s="115"/>
      <c r="R178" s="115"/>
      <c r="S178" s="119"/>
      <c r="T178" s="119"/>
      <c r="U178" s="119"/>
      <c r="V178" s="119"/>
      <c r="W178" s="119"/>
      <c r="X178" s="119"/>
      <c r="Y178" s="120">
        <v>47553.25</v>
      </c>
      <c r="Z178" s="120"/>
      <c r="AA178" s="120">
        <v>0</v>
      </c>
      <c r="AB178" s="121">
        <v>1317542.58</v>
      </c>
      <c r="AC178" s="121">
        <v>0</v>
      </c>
      <c r="AD178" s="121">
        <v>15118.5</v>
      </c>
      <c r="AE178" s="121">
        <v>0</v>
      </c>
      <c r="AF178" s="121">
        <v>109125.5</v>
      </c>
      <c r="AG178" s="121">
        <v>3656.93</v>
      </c>
      <c r="AH178" s="121">
        <v>1200</v>
      </c>
      <c r="AI178" s="121">
        <v>0</v>
      </c>
      <c r="AJ178" s="121">
        <v>32025.710000000279</v>
      </c>
      <c r="AK178" s="121">
        <v>0</v>
      </c>
      <c r="AL178" s="121">
        <v>0</v>
      </c>
      <c r="AM178" s="121">
        <v>0</v>
      </c>
      <c r="AN178" s="121">
        <v>33715.379999999997</v>
      </c>
      <c r="AO178" s="121">
        <v>1010</v>
      </c>
      <c r="AP178" s="121">
        <v>0</v>
      </c>
      <c r="AQ178" s="121">
        <v>0</v>
      </c>
      <c r="AR178" s="121">
        <v>0</v>
      </c>
      <c r="AS178" s="121">
        <v>0</v>
      </c>
      <c r="AT178" s="121">
        <v>0</v>
      </c>
      <c r="AU178" s="121">
        <v>10504.88</v>
      </c>
      <c r="AV178" s="121">
        <v>44813</v>
      </c>
      <c r="AW178" s="121">
        <v>735123.02</v>
      </c>
      <c r="AX178" s="121">
        <v>0</v>
      </c>
      <c r="AY178" s="121">
        <v>262840.11</v>
      </c>
      <c r="AZ178" s="121">
        <v>46845.3</v>
      </c>
      <c r="BA178" s="121">
        <v>106497.94</v>
      </c>
      <c r="BB178" s="121">
        <v>0</v>
      </c>
      <c r="BC178" s="121">
        <v>32606.13</v>
      </c>
      <c r="BD178" s="121">
        <v>0</v>
      </c>
      <c r="BE178" s="121">
        <v>5618.78</v>
      </c>
      <c r="BF178" s="121">
        <v>0</v>
      </c>
      <c r="BG178" s="121">
        <v>0</v>
      </c>
      <c r="BH178" s="121">
        <v>599.4</v>
      </c>
      <c r="BI178" s="121">
        <v>17745.72</v>
      </c>
      <c r="BJ178" s="121">
        <v>780.62</v>
      </c>
      <c r="BK178" s="121">
        <v>3189.95</v>
      </c>
      <c r="BL178" s="121">
        <v>45467.51</v>
      </c>
      <c r="BM178" s="121">
        <v>0</v>
      </c>
      <c r="BN178" s="121">
        <v>5752.94</v>
      </c>
      <c r="BO178" s="121">
        <v>71472.22</v>
      </c>
      <c r="BP178" s="121">
        <v>0</v>
      </c>
      <c r="BQ178" s="121">
        <v>96.16</v>
      </c>
      <c r="BR178" s="121">
        <v>10846.04</v>
      </c>
      <c r="BS178" s="121">
        <v>4895</v>
      </c>
      <c r="BT178" s="121">
        <v>1035</v>
      </c>
      <c r="BU178" s="121">
        <v>110597.82</v>
      </c>
      <c r="BV178" s="121">
        <v>19110.8</v>
      </c>
      <c r="BW178" s="121">
        <v>0</v>
      </c>
      <c r="BX178" s="121">
        <v>109662.58</v>
      </c>
      <c r="BY178" s="121">
        <v>0</v>
      </c>
      <c r="BZ178" s="121">
        <v>0</v>
      </c>
      <c r="CA178" s="121">
        <v>0</v>
      </c>
      <c r="CB178" s="121">
        <v>0</v>
      </c>
      <c r="CC178" s="121">
        <v>0</v>
      </c>
      <c r="CD178" s="121">
        <v>7216.56</v>
      </c>
      <c r="CE178" s="121">
        <v>0</v>
      </c>
      <c r="CF178" s="121">
        <v>0</v>
      </c>
      <c r="CG178" s="121">
        <v>0</v>
      </c>
      <c r="CH178" s="121">
        <v>0</v>
      </c>
      <c r="CI178" s="121">
        <v>7216.56</v>
      </c>
      <c r="CJ178" s="121">
        <v>0</v>
      </c>
      <c r="CK178" s="121">
        <v>0</v>
      </c>
      <c r="CL178" s="121">
        <v>25482.689999999944</v>
      </c>
      <c r="CM178" s="121"/>
      <c r="CN178" s="121">
        <v>0</v>
      </c>
      <c r="CO178" s="121">
        <v>0</v>
      </c>
      <c r="CP178" s="121">
        <v>0</v>
      </c>
      <c r="CQ178" s="121">
        <v>0</v>
      </c>
      <c r="CR178" s="118"/>
      <c r="CS178" s="33">
        <v>25482.689999999944</v>
      </c>
      <c r="CT178" s="33">
        <v>0</v>
      </c>
      <c r="CU178" s="65">
        <v>25482.69</v>
      </c>
      <c r="CV178" s="65">
        <v>0</v>
      </c>
      <c r="CW178" s="65">
        <v>-5.4569682106375694E-11</v>
      </c>
      <c r="CX178" s="33">
        <v>0</v>
      </c>
      <c r="CY178" s="33">
        <v>25482.69</v>
      </c>
      <c r="CZ178" s="66">
        <v>0</v>
      </c>
      <c r="DA178" s="33">
        <v>0</v>
      </c>
      <c r="DB178" s="33">
        <v>9.9999997219129E-3</v>
      </c>
      <c r="DC178" s="33">
        <v>0</v>
      </c>
      <c r="DF178" s="33">
        <v>-5.4569682106375694E-11</v>
      </c>
      <c r="DI178" s="33">
        <v>25482.689999999944</v>
      </c>
      <c r="DJ178" s="33">
        <v>0</v>
      </c>
      <c r="DK178" s="65">
        <v>25482.69</v>
      </c>
      <c r="DL178" s="65">
        <v>0</v>
      </c>
      <c r="DQ178" s="115">
        <v>3303331</v>
      </c>
      <c r="DS178" s="33">
        <v>0</v>
      </c>
      <c r="DT178" s="33">
        <v>1568712.48</v>
      </c>
      <c r="DU178" s="33">
        <v>1590783.04</v>
      </c>
      <c r="DV178" s="33">
        <v>-22070.560000000056</v>
      </c>
      <c r="DW178" s="33">
        <v>7216.56</v>
      </c>
      <c r="DX178" s="33">
        <v>7216.56</v>
      </c>
      <c r="DY178" s="33">
        <v>0</v>
      </c>
    </row>
    <row r="179" spans="2:129" x14ac:dyDescent="0.35">
      <c r="B179" s="87">
        <v>3335</v>
      </c>
      <c r="C179" s="115">
        <v>3303335</v>
      </c>
      <c r="D179" s="116" t="s">
        <v>475</v>
      </c>
      <c r="E179" s="116" t="s">
        <v>476</v>
      </c>
      <c r="F179" s="117"/>
      <c r="G179" s="118"/>
      <c r="H179" s="115"/>
      <c r="I179" s="115"/>
      <c r="J179" s="115"/>
      <c r="K179" s="115"/>
      <c r="L179" s="115"/>
      <c r="M179" s="115"/>
      <c r="N179" s="115"/>
      <c r="O179" s="115"/>
      <c r="P179" s="115"/>
      <c r="Q179" s="115"/>
      <c r="R179" s="115"/>
      <c r="S179" s="119"/>
      <c r="T179" s="119"/>
      <c r="U179" s="119"/>
      <c r="V179" s="119"/>
      <c r="W179" s="119"/>
      <c r="X179" s="119"/>
      <c r="Y179" s="120">
        <v>41292.71</v>
      </c>
      <c r="Z179" s="120"/>
      <c r="AA179" s="120">
        <v>0</v>
      </c>
      <c r="AB179" s="121">
        <v>1277451.26</v>
      </c>
      <c r="AC179" s="121">
        <v>0</v>
      </c>
      <c r="AD179" s="121">
        <v>43408.4</v>
      </c>
      <c r="AE179" s="121">
        <v>0</v>
      </c>
      <c r="AF179" s="121">
        <v>165871</v>
      </c>
      <c r="AG179" s="121">
        <v>6056.93</v>
      </c>
      <c r="AH179" s="121">
        <v>0</v>
      </c>
      <c r="AI179" s="121">
        <v>0</v>
      </c>
      <c r="AJ179" s="121">
        <v>0</v>
      </c>
      <c r="AK179" s="121">
        <v>0</v>
      </c>
      <c r="AL179" s="121">
        <v>0</v>
      </c>
      <c r="AM179" s="121">
        <v>0</v>
      </c>
      <c r="AN179" s="121">
        <v>7086.02</v>
      </c>
      <c r="AO179" s="121">
        <v>0</v>
      </c>
      <c r="AP179" s="121">
        <v>0</v>
      </c>
      <c r="AQ179" s="121">
        <v>0</v>
      </c>
      <c r="AR179" s="121">
        <v>0</v>
      </c>
      <c r="AS179" s="121">
        <v>0</v>
      </c>
      <c r="AT179" s="121">
        <v>0</v>
      </c>
      <c r="AU179" s="121">
        <v>23443.360000000001</v>
      </c>
      <c r="AV179" s="121">
        <v>38974</v>
      </c>
      <c r="AW179" s="121">
        <v>586023.9</v>
      </c>
      <c r="AX179" s="121">
        <v>0</v>
      </c>
      <c r="AY179" s="121">
        <v>137969.13</v>
      </c>
      <c r="AZ179" s="121">
        <v>42589.82</v>
      </c>
      <c r="BA179" s="121">
        <v>178800.69</v>
      </c>
      <c r="BB179" s="121">
        <v>0</v>
      </c>
      <c r="BC179" s="121">
        <v>13208.24</v>
      </c>
      <c r="BD179" s="121">
        <v>2739.72</v>
      </c>
      <c r="BE179" s="121">
        <v>2142.5</v>
      </c>
      <c r="BF179" s="121">
        <v>0</v>
      </c>
      <c r="BG179" s="121">
        <v>0</v>
      </c>
      <c r="BH179" s="121">
        <v>26187.9</v>
      </c>
      <c r="BI179" s="121">
        <v>7208.34</v>
      </c>
      <c r="BJ179" s="121">
        <v>29724.46</v>
      </c>
      <c r="BK179" s="121">
        <v>4668.2299999999996</v>
      </c>
      <c r="BL179" s="121">
        <v>32082.44</v>
      </c>
      <c r="BM179" s="121">
        <v>0</v>
      </c>
      <c r="BN179" s="121">
        <v>15546.45</v>
      </c>
      <c r="BO179" s="121">
        <v>98365.049999999988</v>
      </c>
      <c r="BP179" s="121">
        <v>7436.71</v>
      </c>
      <c r="BQ179" s="121">
        <v>0</v>
      </c>
      <c r="BR179" s="121">
        <v>36285.449999999997</v>
      </c>
      <c r="BS179" s="121">
        <v>4929.9799999999996</v>
      </c>
      <c r="BT179" s="121">
        <v>7930</v>
      </c>
      <c r="BU179" s="121">
        <v>103631.4</v>
      </c>
      <c r="BV179" s="121">
        <v>132644.79999999999</v>
      </c>
      <c r="BW179" s="121">
        <v>0</v>
      </c>
      <c r="BX179" s="121">
        <v>166023.47</v>
      </c>
      <c r="BY179" s="121">
        <v>0</v>
      </c>
      <c r="BZ179" s="121">
        <v>0</v>
      </c>
      <c r="CA179" s="121">
        <v>0</v>
      </c>
      <c r="CB179" s="121">
        <v>0</v>
      </c>
      <c r="CC179" s="121">
        <v>0</v>
      </c>
      <c r="CD179" s="121">
        <v>6786.45</v>
      </c>
      <c r="CE179" s="121">
        <v>0</v>
      </c>
      <c r="CF179" s="121">
        <v>0</v>
      </c>
      <c r="CG179" s="121">
        <v>0</v>
      </c>
      <c r="CH179" s="121">
        <v>0</v>
      </c>
      <c r="CI179" s="121">
        <v>6786.45</v>
      </c>
      <c r="CJ179" s="121">
        <v>0</v>
      </c>
      <c r="CK179" s="121">
        <v>0</v>
      </c>
      <c r="CL179" s="121">
        <v>-32554.999999999731</v>
      </c>
      <c r="CM179" s="121"/>
      <c r="CN179" s="121">
        <v>0</v>
      </c>
      <c r="CO179" s="121">
        <v>0</v>
      </c>
      <c r="CP179" s="121">
        <v>0</v>
      </c>
      <c r="CQ179" s="121">
        <v>0</v>
      </c>
      <c r="CR179" s="118"/>
      <c r="CS179" s="33">
        <v>-32554.999999999731</v>
      </c>
      <c r="CT179" s="33">
        <v>0</v>
      </c>
      <c r="CU179" s="65">
        <v>-32555</v>
      </c>
      <c r="CV179" s="65">
        <v>0</v>
      </c>
      <c r="CW179" s="65">
        <v>2.6921043172478676E-10</v>
      </c>
      <c r="CX179" s="33">
        <v>0</v>
      </c>
      <c r="CY179" s="33">
        <v>-32555</v>
      </c>
      <c r="CZ179" s="66">
        <v>0</v>
      </c>
      <c r="DA179" s="33">
        <v>0</v>
      </c>
      <c r="DB179" s="33">
        <v>-35075.85</v>
      </c>
      <c r="DC179" s="33">
        <v>0</v>
      </c>
      <c r="DF179" s="33">
        <v>2.6921043172478676E-10</v>
      </c>
      <c r="DI179" s="33">
        <v>-32554.999999999731</v>
      </c>
      <c r="DJ179" s="33">
        <v>0</v>
      </c>
      <c r="DK179" s="65">
        <v>-32555</v>
      </c>
      <c r="DL179" s="65">
        <v>0</v>
      </c>
      <c r="DQ179" s="115">
        <v>3303335</v>
      </c>
      <c r="DS179" s="33">
        <v>0</v>
      </c>
      <c r="DT179" s="33">
        <v>1562290.97</v>
      </c>
      <c r="DU179" s="33">
        <v>1636138.6799999997</v>
      </c>
      <c r="DV179" s="33">
        <v>-73847.70999999973</v>
      </c>
      <c r="DW179" s="33">
        <v>6786.45</v>
      </c>
      <c r="DX179" s="33">
        <v>6786.45</v>
      </c>
      <c r="DY179" s="33">
        <v>0</v>
      </c>
    </row>
    <row r="180" spans="2:129" x14ac:dyDescent="0.35">
      <c r="B180" s="87">
        <v>3342</v>
      </c>
      <c r="C180" s="115">
        <v>3303342</v>
      </c>
      <c r="D180" s="116" t="s">
        <v>477</v>
      </c>
      <c r="E180" s="116" t="s">
        <v>478</v>
      </c>
      <c r="F180" s="117"/>
      <c r="G180" s="118"/>
      <c r="H180" s="115"/>
      <c r="I180" s="115"/>
      <c r="J180" s="115"/>
      <c r="K180" s="115"/>
      <c r="L180" s="115"/>
      <c r="M180" s="115"/>
      <c r="N180" s="115"/>
      <c r="O180" s="115"/>
      <c r="P180" s="115"/>
      <c r="Q180" s="115"/>
      <c r="R180" s="115"/>
      <c r="S180" s="119"/>
      <c r="T180" s="119"/>
      <c r="U180" s="119"/>
      <c r="V180" s="119"/>
      <c r="W180" s="119"/>
      <c r="X180" s="119"/>
      <c r="Y180" s="120">
        <v>440738.14</v>
      </c>
      <c r="Z180" s="120"/>
      <c r="AA180" s="120">
        <v>0</v>
      </c>
      <c r="AB180" s="121">
        <v>2208051.9300000002</v>
      </c>
      <c r="AC180" s="121">
        <v>0</v>
      </c>
      <c r="AD180" s="121">
        <v>63183.75</v>
      </c>
      <c r="AE180" s="121">
        <v>0</v>
      </c>
      <c r="AF180" s="121">
        <v>352111</v>
      </c>
      <c r="AG180" s="121">
        <v>4313.8599999999997</v>
      </c>
      <c r="AH180" s="121">
        <v>0</v>
      </c>
      <c r="AI180" s="121">
        <v>0</v>
      </c>
      <c r="AJ180" s="121">
        <v>30087.739999999845</v>
      </c>
      <c r="AK180" s="121">
        <v>0</v>
      </c>
      <c r="AL180" s="121">
        <v>0</v>
      </c>
      <c r="AM180" s="121">
        <v>0</v>
      </c>
      <c r="AN180" s="121">
        <v>785</v>
      </c>
      <c r="AO180" s="121">
        <v>0</v>
      </c>
      <c r="AP180" s="121">
        <v>0</v>
      </c>
      <c r="AQ180" s="121">
        <v>0</v>
      </c>
      <c r="AR180" s="121">
        <v>0</v>
      </c>
      <c r="AS180" s="121">
        <v>0</v>
      </c>
      <c r="AT180" s="121">
        <v>0</v>
      </c>
      <c r="AU180" s="121">
        <v>39271.86</v>
      </c>
      <c r="AV180" s="121">
        <v>49906</v>
      </c>
      <c r="AW180" s="121">
        <v>1074393.22</v>
      </c>
      <c r="AX180" s="121">
        <v>0</v>
      </c>
      <c r="AY180" s="121">
        <v>535613.79</v>
      </c>
      <c r="AZ180" s="121">
        <v>42967.99</v>
      </c>
      <c r="BA180" s="121">
        <v>253691.83</v>
      </c>
      <c r="BB180" s="121">
        <v>0</v>
      </c>
      <c r="BC180" s="121">
        <v>41772.959999999999</v>
      </c>
      <c r="BD180" s="121">
        <v>0</v>
      </c>
      <c r="BE180" s="121">
        <v>4751</v>
      </c>
      <c r="BF180" s="121">
        <v>0</v>
      </c>
      <c r="BG180" s="121">
        <v>0</v>
      </c>
      <c r="BH180" s="121">
        <v>9532.2000000000007</v>
      </c>
      <c r="BI180" s="121">
        <v>0</v>
      </c>
      <c r="BJ180" s="121">
        <v>64053.14</v>
      </c>
      <c r="BK180" s="121">
        <v>6169.03</v>
      </c>
      <c r="BL180" s="121">
        <v>55083.53</v>
      </c>
      <c r="BM180" s="121">
        <v>0</v>
      </c>
      <c r="BN180" s="121">
        <v>2953.97</v>
      </c>
      <c r="BO180" s="121">
        <v>33153.870000000003</v>
      </c>
      <c r="BP180" s="121">
        <v>23395.98</v>
      </c>
      <c r="BQ180" s="121">
        <v>6144.28</v>
      </c>
      <c r="BR180" s="121">
        <v>91979.82</v>
      </c>
      <c r="BS180" s="121">
        <v>4895</v>
      </c>
      <c r="BT180" s="121">
        <v>10569.4</v>
      </c>
      <c r="BU180" s="121">
        <v>190482.83</v>
      </c>
      <c r="BV180" s="121">
        <v>193690</v>
      </c>
      <c r="BW180" s="121">
        <v>15076.25</v>
      </c>
      <c r="BX180" s="121">
        <v>63719.22</v>
      </c>
      <c r="BY180" s="121">
        <v>0</v>
      </c>
      <c r="BZ180" s="121">
        <v>0</v>
      </c>
      <c r="CA180" s="121">
        <v>0</v>
      </c>
      <c r="CB180" s="121">
        <v>0</v>
      </c>
      <c r="CC180" s="121">
        <v>0</v>
      </c>
      <c r="CD180" s="121">
        <v>9240.75</v>
      </c>
      <c r="CE180" s="121">
        <v>0</v>
      </c>
      <c r="CF180" s="121">
        <v>0</v>
      </c>
      <c r="CG180" s="121">
        <v>0</v>
      </c>
      <c r="CH180" s="121">
        <v>0</v>
      </c>
      <c r="CI180" s="121">
        <v>9240.75</v>
      </c>
      <c r="CJ180" s="121">
        <v>0</v>
      </c>
      <c r="CK180" s="121">
        <v>0</v>
      </c>
      <c r="CL180" s="121">
        <v>464359.97000000009</v>
      </c>
      <c r="CM180" s="121"/>
      <c r="CN180" s="121">
        <v>0</v>
      </c>
      <c r="CO180" s="121">
        <v>0</v>
      </c>
      <c r="CP180" s="121">
        <v>0</v>
      </c>
      <c r="CQ180" s="121">
        <v>0</v>
      </c>
      <c r="CR180" s="118"/>
      <c r="CS180" s="33">
        <v>464359.97000000009</v>
      </c>
      <c r="CT180" s="33">
        <v>0</v>
      </c>
      <c r="CU180" s="65">
        <v>464359.97</v>
      </c>
      <c r="CV180" s="65">
        <v>0</v>
      </c>
      <c r="CW180" s="65">
        <v>0</v>
      </c>
      <c r="CX180" s="33">
        <v>0</v>
      </c>
      <c r="CY180" s="33">
        <v>464359.97</v>
      </c>
      <c r="CZ180" s="66">
        <v>0</v>
      </c>
      <c r="DA180" s="33">
        <v>0</v>
      </c>
      <c r="DB180" s="33">
        <v>4.0000000153668225E-2</v>
      </c>
      <c r="DC180" s="33">
        <v>0</v>
      </c>
      <c r="DF180" s="33">
        <v>1.1641532182693481E-10</v>
      </c>
      <c r="DI180" s="33">
        <v>464359.97000000009</v>
      </c>
      <c r="DJ180" s="33">
        <v>0</v>
      </c>
      <c r="DK180" s="65">
        <v>464359.97</v>
      </c>
      <c r="DL180" s="65">
        <v>0</v>
      </c>
      <c r="DQ180" s="115">
        <v>3303342</v>
      </c>
      <c r="DS180" s="33">
        <v>0</v>
      </c>
      <c r="DT180" s="33">
        <v>2747711.1399999997</v>
      </c>
      <c r="DU180" s="33">
        <v>2724089.3099999996</v>
      </c>
      <c r="DV180" s="33">
        <v>23621.830000000075</v>
      </c>
      <c r="DW180" s="33">
        <v>9240.75</v>
      </c>
      <c r="DX180" s="33">
        <v>9240.75</v>
      </c>
      <c r="DY180" s="33">
        <v>0</v>
      </c>
    </row>
    <row r="181" spans="2:129" x14ac:dyDescent="0.35">
      <c r="B181" s="87">
        <v>3344</v>
      </c>
      <c r="C181" s="115">
        <v>3303344</v>
      </c>
      <c r="D181" s="116" t="s">
        <v>479</v>
      </c>
      <c r="E181" s="116" t="s">
        <v>480</v>
      </c>
      <c r="F181" s="117"/>
      <c r="G181" s="118"/>
      <c r="H181" s="115"/>
      <c r="I181" s="115"/>
      <c r="J181" s="115"/>
      <c r="K181" s="115"/>
      <c r="L181" s="115"/>
      <c r="M181" s="115"/>
      <c r="N181" s="115"/>
      <c r="O181" s="115"/>
      <c r="P181" s="115"/>
      <c r="Q181" s="115"/>
      <c r="R181" s="115"/>
      <c r="S181" s="119"/>
      <c r="T181" s="119"/>
      <c r="U181" s="119"/>
      <c r="V181" s="119"/>
      <c r="W181" s="119"/>
      <c r="X181" s="119"/>
      <c r="Y181" s="120">
        <v>228822.59</v>
      </c>
      <c r="Z181" s="120"/>
      <c r="AA181" s="120">
        <v>0</v>
      </c>
      <c r="AB181" s="121">
        <v>1943120.89</v>
      </c>
      <c r="AC181" s="121">
        <v>0</v>
      </c>
      <c r="AD181" s="121">
        <v>62912.5</v>
      </c>
      <c r="AE181" s="121">
        <v>0</v>
      </c>
      <c r="AF181" s="121">
        <v>108676</v>
      </c>
      <c r="AG181" s="121">
        <v>3656.93</v>
      </c>
      <c r="AH181" s="121">
        <v>0</v>
      </c>
      <c r="AI181" s="121">
        <v>0</v>
      </c>
      <c r="AJ181" s="121">
        <v>68171.69</v>
      </c>
      <c r="AK181" s="121">
        <v>0</v>
      </c>
      <c r="AL181" s="121">
        <v>0</v>
      </c>
      <c r="AM181" s="121">
        <v>0</v>
      </c>
      <c r="AN181" s="121">
        <v>16694.87</v>
      </c>
      <c r="AO181" s="121">
        <v>5043.59</v>
      </c>
      <c r="AP181" s="121">
        <v>0</v>
      </c>
      <c r="AQ181" s="121">
        <v>0</v>
      </c>
      <c r="AR181" s="121">
        <v>0</v>
      </c>
      <c r="AS181" s="121">
        <v>0</v>
      </c>
      <c r="AT181" s="121">
        <v>0</v>
      </c>
      <c r="AU181" s="121">
        <v>7167.38</v>
      </c>
      <c r="AV181" s="121">
        <v>87410</v>
      </c>
      <c r="AW181" s="121">
        <v>1125422.8400000001</v>
      </c>
      <c r="AX181" s="121">
        <v>0</v>
      </c>
      <c r="AY181" s="121">
        <v>242395.3</v>
      </c>
      <c r="AZ181" s="121">
        <v>83440.679999999993</v>
      </c>
      <c r="BA181" s="121">
        <v>144146.98000000001</v>
      </c>
      <c r="BB181" s="121">
        <v>0</v>
      </c>
      <c r="BC181" s="121">
        <v>73714.95</v>
      </c>
      <c r="BD181" s="121">
        <v>6961.5</v>
      </c>
      <c r="BE181" s="121">
        <v>8103.87</v>
      </c>
      <c r="BF181" s="121">
        <v>0</v>
      </c>
      <c r="BG181" s="121">
        <v>0</v>
      </c>
      <c r="BH181" s="121">
        <v>51528.1</v>
      </c>
      <c r="BI181" s="121">
        <v>647.96</v>
      </c>
      <c r="BJ181" s="121">
        <v>9453.24</v>
      </c>
      <c r="BK181" s="121">
        <v>7024.33</v>
      </c>
      <c r="BL181" s="121">
        <v>77919.039999999994</v>
      </c>
      <c r="BM181" s="121">
        <v>0</v>
      </c>
      <c r="BN181" s="121">
        <v>4042.11</v>
      </c>
      <c r="BO181" s="121">
        <v>124682.72999999925</v>
      </c>
      <c r="BP181" s="121">
        <v>6141.75</v>
      </c>
      <c r="BQ181" s="121">
        <v>4055</v>
      </c>
      <c r="BR181" s="121">
        <v>67748.52</v>
      </c>
      <c r="BS181" s="121">
        <v>13110.97</v>
      </c>
      <c r="BT181" s="121">
        <v>16925.5</v>
      </c>
      <c r="BU181" s="121">
        <v>151613.12</v>
      </c>
      <c r="BV181" s="121">
        <v>0</v>
      </c>
      <c r="BW181" s="121">
        <v>0</v>
      </c>
      <c r="BX181" s="121">
        <v>139068.9</v>
      </c>
      <c r="BY181" s="121">
        <v>0</v>
      </c>
      <c r="BZ181" s="121">
        <v>0</v>
      </c>
      <c r="CA181" s="121">
        <v>0</v>
      </c>
      <c r="CB181" s="121">
        <v>0</v>
      </c>
      <c r="CC181" s="121">
        <v>0</v>
      </c>
      <c r="CD181" s="121">
        <v>9435.15</v>
      </c>
      <c r="CE181" s="121">
        <v>0</v>
      </c>
      <c r="CF181" s="121">
        <v>0</v>
      </c>
      <c r="CG181" s="121">
        <v>0</v>
      </c>
      <c r="CH181" s="121">
        <v>0</v>
      </c>
      <c r="CI181" s="121">
        <v>9435.15</v>
      </c>
      <c r="CJ181" s="121">
        <v>0</v>
      </c>
      <c r="CK181" s="121">
        <v>0</v>
      </c>
      <c r="CL181" s="121">
        <v>173529.04999999996</v>
      </c>
      <c r="CM181" s="121"/>
      <c r="CN181" s="121">
        <v>0</v>
      </c>
      <c r="CO181" s="121">
        <v>0</v>
      </c>
      <c r="CP181" s="121">
        <v>0</v>
      </c>
      <c r="CQ181" s="121">
        <v>0</v>
      </c>
      <c r="CR181" s="118"/>
      <c r="CS181" s="33">
        <v>173529.04999999996</v>
      </c>
      <c r="CT181" s="33">
        <v>0</v>
      </c>
      <c r="CU181" s="65">
        <v>173529.05</v>
      </c>
      <c r="CV181" s="65">
        <v>0</v>
      </c>
      <c r="CW181" s="65">
        <v>0</v>
      </c>
      <c r="CX181" s="33">
        <v>0</v>
      </c>
      <c r="CY181" s="33">
        <v>173529.05</v>
      </c>
      <c r="CZ181" s="66">
        <v>0</v>
      </c>
      <c r="DA181" s="33">
        <v>0</v>
      </c>
      <c r="DB181" s="33">
        <v>0</v>
      </c>
      <c r="DC181" s="33">
        <v>-1.0000000736908987E-2</v>
      </c>
      <c r="DF181" s="33">
        <v>-2.9103830456733704E-11</v>
      </c>
      <c r="DI181" s="33">
        <v>173529.04999999996</v>
      </c>
      <c r="DJ181" s="33">
        <v>0</v>
      </c>
      <c r="DK181" s="65">
        <v>173529.05</v>
      </c>
      <c r="DL181" s="65">
        <v>0</v>
      </c>
      <c r="DQ181" s="115">
        <v>3303344</v>
      </c>
      <c r="DS181" s="33">
        <v>0</v>
      </c>
      <c r="DT181" s="33">
        <v>2302853.8499999996</v>
      </c>
      <c r="DU181" s="33">
        <v>2358147.3899999997</v>
      </c>
      <c r="DV181" s="33">
        <v>-55293.540000000037</v>
      </c>
      <c r="DW181" s="33">
        <v>9435.15</v>
      </c>
      <c r="DX181" s="33">
        <v>9435.15</v>
      </c>
      <c r="DY181" s="33">
        <v>0</v>
      </c>
    </row>
    <row r="182" spans="2:129" x14ac:dyDescent="0.35">
      <c r="B182" s="87">
        <v>3346</v>
      </c>
      <c r="C182" s="115">
        <v>3303346</v>
      </c>
      <c r="D182" s="116" t="s">
        <v>481</v>
      </c>
      <c r="E182" s="116" t="s">
        <v>482</v>
      </c>
      <c r="F182" s="117"/>
      <c r="G182" s="118"/>
      <c r="H182" s="115"/>
      <c r="I182" s="115"/>
      <c r="J182" s="115"/>
      <c r="K182" s="115"/>
      <c r="L182" s="115"/>
      <c r="M182" s="115"/>
      <c r="N182" s="115"/>
      <c r="O182" s="115"/>
      <c r="P182" s="115"/>
      <c r="Q182" s="115"/>
      <c r="R182" s="115"/>
      <c r="S182" s="119"/>
      <c r="T182" s="119"/>
      <c r="U182" s="119"/>
      <c r="V182" s="119"/>
      <c r="W182" s="119"/>
      <c r="X182" s="119"/>
      <c r="Y182" s="120"/>
      <c r="Z182" s="120">
        <v>-263959.21999999997</v>
      </c>
      <c r="AA182" s="120">
        <v>0</v>
      </c>
      <c r="AB182" s="121">
        <v>1183806.8999999999</v>
      </c>
      <c r="AC182" s="121">
        <v>0</v>
      </c>
      <c r="AD182" s="121">
        <v>48638.23</v>
      </c>
      <c r="AE182" s="121">
        <v>0</v>
      </c>
      <c r="AF182" s="121">
        <v>106171</v>
      </c>
      <c r="AG182" s="121">
        <v>0</v>
      </c>
      <c r="AH182" s="121">
        <v>0</v>
      </c>
      <c r="AI182" s="121">
        <v>0</v>
      </c>
      <c r="AJ182" s="121">
        <v>49324.88</v>
      </c>
      <c r="AK182" s="121">
        <v>0</v>
      </c>
      <c r="AL182" s="121">
        <v>0</v>
      </c>
      <c r="AM182" s="121">
        <v>0</v>
      </c>
      <c r="AN182" s="121">
        <v>0</v>
      </c>
      <c r="AO182" s="121">
        <v>4060</v>
      </c>
      <c r="AP182" s="121">
        <v>0</v>
      </c>
      <c r="AQ182" s="121">
        <v>0</v>
      </c>
      <c r="AR182" s="121">
        <v>0</v>
      </c>
      <c r="AS182" s="121">
        <v>0</v>
      </c>
      <c r="AT182" s="121">
        <v>0</v>
      </c>
      <c r="AU182" s="121">
        <v>29271.88</v>
      </c>
      <c r="AV182" s="121">
        <v>38091</v>
      </c>
      <c r="AW182" s="121">
        <v>924235.98</v>
      </c>
      <c r="AX182" s="121">
        <v>0</v>
      </c>
      <c r="AY182" s="121">
        <v>337526.18</v>
      </c>
      <c r="AZ182" s="121">
        <v>47481.69</v>
      </c>
      <c r="BA182" s="121">
        <v>201268.91</v>
      </c>
      <c r="BB182" s="121">
        <v>0</v>
      </c>
      <c r="BC182" s="121">
        <v>74599.55</v>
      </c>
      <c r="BD182" s="121">
        <v>20.54</v>
      </c>
      <c r="BE182" s="121">
        <v>683</v>
      </c>
      <c r="BF182" s="121">
        <v>0</v>
      </c>
      <c r="BG182" s="121">
        <v>0</v>
      </c>
      <c r="BH182" s="121">
        <v>15320.92</v>
      </c>
      <c r="BI182" s="121">
        <v>1351.27</v>
      </c>
      <c r="BJ182" s="121">
        <v>43247.29</v>
      </c>
      <c r="BK182" s="121">
        <v>4905.8100000000004</v>
      </c>
      <c r="BL182" s="121">
        <v>62711.98</v>
      </c>
      <c r="BM182" s="121">
        <v>0</v>
      </c>
      <c r="BN182" s="121">
        <v>2906.28</v>
      </c>
      <c r="BO182" s="121">
        <v>103539.73999999957</v>
      </c>
      <c r="BP182" s="121">
        <v>9468.2800000000007</v>
      </c>
      <c r="BQ182" s="121">
        <v>176.45</v>
      </c>
      <c r="BR182" s="121">
        <v>29283.27</v>
      </c>
      <c r="BS182" s="121">
        <v>4895</v>
      </c>
      <c r="BT182" s="121">
        <v>4010</v>
      </c>
      <c r="BU182" s="121">
        <v>138779.71</v>
      </c>
      <c r="BV182" s="121">
        <v>121608.24</v>
      </c>
      <c r="BW182" s="121">
        <v>0</v>
      </c>
      <c r="BX182" s="121">
        <v>120841.60000000001</v>
      </c>
      <c r="BY182" s="121">
        <v>0</v>
      </c>
      <c r="BZ182" s="121">
        <v>0</v>
      </c>
      <c r="CA182" s="121">
        <v>0</v>
      </c>
      <c r="CB182" s="121">
        <v>0</v>
      </c>
      <c r="CC182" s="121">
        <v>0</v>
      </c>
      <c r="CD182" s="121">
        <v>6616.35</v>
      </c>
      <c r="CE182" s="121">
        <v>0</v>
      </c>
      <c r="CF182" s="121">
        <v>0</v>
      </c>
      <c r="CG182" s="121">
        <v>0</v>
      </c>
      <c r="CH182" s="121">
        <v>0</v>
      </c>
      <c r="CI182" s="121">
        <v>6616.35</v>
      </c>
      <c r="CJ182" s="121">
        <v>0</v>
      </c>
      <c r="CK182" s="121">
        <v>0</v>
      </c>
      <c r="CL182" s="121">
        <v>-1053457.0199999998</v>
      </c>
      <c r="CM182" s="121"/>
      <c r="CN182" s="121">
        <v>0</v>
      </c>
      <c r="CO182" s="121">
        <v>0</v>
      </c>
      <c r="CP182" s="121">
        <v>0</v>
      </c>
      <c r="CQ182" s="121">
        <v>0</v>
      </c>
      <c r="CR182" s="118"/>
      <c r="CS182" s="33">
        <v>-1053457.0199999998</v>
      </c>
      <c r="CT182" s="33">
        <v>0</v>
      </c>
      <c r="CU182" s="65">
        <v>-1053457.02</v>
      </c>
      <c r="CV182" s="65">
        <v>0</v>
      </c>
      <c r="CW182" s="65">
        <v>0</v>
      </c>
      <c r="CX182" s="33">
        <v>0</v>
      </c>
      <c r="CY182" s="33">
        <v>-1053457.02</v>
      </c>
      <c r="CZ182" s="66">
        <v>0</v>
      </c>
      <c r="DA182" s="33">
        <v>0</v>
      </c>
      <c r="DB182" s="33">
        <v>0</v>
      </c>
      <c r="DC182" s="33">
        <v>-0.22000000043772161</v>
      </c>
      <c r="DF182" s="33">
        <v>2.3283064365386963E-10</v>
      </c>
      <c r="DI182" s="33">
        <v>-1053457.0199999998</v>
      </c>
      <c r="DJ182" s="33">
        <v>0</v>
      </c>
      <c r="DK182" s="65">
        <v>-1053457.02</v>
      </c>
      <c r="DL182" s="65">
        <v>0</v>
      </c>
      <c r="DQ182" s="115">
        <v>3303346</v>
      </c>
      <c r="DS182" s="33">
        <v>0</v>
      </c>
      <c r="DT182" s="33">
        <v>1459363.8899999997</v>
      </c>
      <c r="DU182" s="33">
        <v>2248861.6899999995</v>
      </c>
      <c r="DV182" s="33">
        <v>-789497.79999999981</v>
      </c>
      <c r="DW182" s="33">
        <v>6616.35</v>
      </c>
      <c r="DX182" s="33">
        <v>6616.35</v>
      </c>
      <c r="DY182" s="33">
        <v>0</v>
      </c>
    </row>
    <row r="183" spans="2:129" x14ac:dyDescent="0.35">
      <c r="B183" s="87">
        <v>3352</v>
      </c>
      <c r="C183" s="115">
        <v>3303352</v>
      </c>
      <c r="D183" s="116" t="s">
        <v>483</v>
      </c>
      <c r="E183" s="116" t="s">
        <v>484</v>
      </c>
      <c r="F183" s="117"/>
      <c r="G183" s="118"/>
      <c r="H183" s="115"/>
      <c r="I183" s="115"/>
      <c r="J183" s="115"/>
      <c r="K183" s="115"/>
      <c r="L183" s="115"/>
      <c r="M183" s="115"/>
      <c r="N183" s="115"/>
      <c r="O183" s="115"/>
      <c r="P183" s="115"/>
      <c r="Q183" s="115"/>
      <c r="R183" s="115"/>
      <c r="S183" s="119"/>
      <c r="T183" s="119"/>
      <c r="U183" s="119"/>
      <c r="V183" s="119"/>
      <c r="W183" s="119"/>
      <c r="X183" s="119"/>
      <c r="Y183" s="120">
        <v>6127.32</v>
      </c>
      <c r="Z183" s="120"/>
      <c r="AA183" s="120">
        <v>0</v>
      </c>
      <c r="AB183" s="121">
        <v>1137014.1100000001</v>
      </c>
      <c r="AC183" s="121">
        <v>0</v>
      </c>
      <c r="AD183" s="121">
        <v>42586.46</v>
      </c>
      <c r="AE183" s="121">
        <v>0</v>
      </c>
      <c r="AF183" s="121">
        <v>93120</v>
      </c>
      <c r="AG183" s="121">
        <v>5000</v>
      </c>
      <c r="AH183" s="121">
        <v>0</v>
      </c>
      <c r="AI183" s="121">
        <v>0</v>
      </c>
      <c r="AJ183" s="121">
        <v>67925.78</v>
      </c>
      <c r="AK183" s="121">
        <v>0</v>
      </c>
      <c r="AL183" s="121">
        <v>0</v>
      </c>
      <c r="AM183" s="121">
        <v>0</v>
      </c>
      <c r="AN183" s="121">
        <v>9077</v>
      </c>
      <c r="AO183" s="121">
        <v>12175</v>
      </c>
      <c r="AP183" s="121">
        <v>0</v>
      </c>
      <c r="AQ183" s="121">
        <v>0</v>
      </c>
      <c r="AR183" s="121">
        <v>0</v>
      </c>
      <c r="AS183" s="121">
        <v>0</v>
      </c>
      <c r="AT183" s="121">
        <v>0</v>
      </c>
      <c r="AU183" s="121">
        <v>15490</v>
      </c>
      <c r="AV183" s="121">
        <v>44982</v>
      </c>
      <c r="AW183" s="121">
        <v>615002.16</v>
      </c>
      <c r="AX183" s="121">
        <v>84017.86</v>
      </c>
      <c r="AY183" s="121">
        <v>269242.08</v>
      </c>
      <c r="AZ183" s="121">
        <v>18145.849999999999</v>
      </c>
      <c r="BA183" s="121">
        <v>88746.98</v>
      </c>
      <c r="BB183" s="121">
        <v>9647.31</v>
      </c>
      <c r="BC183" s="121">
        <v>60701.37</v>
      </c>
      <c r="BD183" s="121">
        <v>2300</v>
      </c>
      <c r="BE183" s="121">
        <v>510</v>
      </c>
      <c r="BF183" s="121">
        <v>0</v>
      </c>
      <c r="BG183" s="121">
        <v>0</v>
      </c>
      <c r="BH183" s="121">
        <v>8908.69</v>
      </c>
      <c r="BI183" s="121">
        <v>1935.46</v>
      </c>
      <c r="BJ183" s="121">
        <v>4314.8999999999996</v>
      </c>
      <c r="BK183" s="121">
        <v>3479.72</v>
      </c>
      <c r="BL183" s="121">
        <v>52314.6</v>
      </c>
      <c r="BM183" s="121">
        <v>0</v>
      </c>
      <c r="BN183" s="121">
        <v>33693.199999999997</v>
      </c>
      <c r="BO183" s="121">
        <v>50590.229999999843</v>
      </c>
      <c r="BP183" s="121">
        <v>46.5</v>
      </c>
      <c r="BQ183" s="121">
        <v>0</v>
      </c>
      <c r="BR183" s="121">
        <v>19478.12</v>
      </c>
      <c r="BS183" s="121">
        <v>4895</v>
      </c>
      <c r="BT183" s="121">
        <v>2800</v>
      </c>
      <c r="BU183" s="121">
        <v>1251.7</v>
      </c>
      <c r="BV183" s="121">
        <v>14896.18</v>
      </c>
      <c r="BW183" s="121">
        <v>1170</v>
      </c>
      <c r="BX183" s="121">
        <v>129115.61</v>
      </c>
      <c r="BY183" s="121">
        <v>0</v>
      </c>
      <c r="BZ183" s="121">
        <v>0</v>
      </c>
      <c r="CA183" s="121">
        <v>0</v>
      </c>
      <c r="CB183" s="121">
        <v>0</v>
      </c>
      <c r="CC183" s="121">
        <v>0</v>
      </c>
      <c r="CD183" s="121">
        <v>6973.56</v>
      </c>
      <c r="CE183" s="121">
        <v>0</v>
      </c>
      <c r="CF183" s="121">
        <v>0</v>
      </c>
      <c r="CG183" s="121">
        <v>0</v>
      </c>
      <c r="CH183" s="121">
        <v>0</v>
      </c>
      <c r="CI183" s="121">
        <v>6973.56</v>
      </c>
      <c r="CJ183" s="121">
        <v>0</v>
      </c>
      <c r="CK183" s="121">
        <v>0</v>
      </c>
      <c r="CL183" s="121">
        <v>-43705.849999999926</v>
      </c>
      <c r="CM183" s="121"/>
      <c r="CN183" s="121">
        <v>0</v>
      </c>
      <c r="CO183" s="121">
        <v>0</v>
      </c>
      <c r="CP183" s="121">
        <v>0</v>
      </c>
      <c r="CQ183" s="121">
        <v>0</v>
      </c>
      <c r="CR183" s="118"/>
      <c r="CS183" s="33">
        <v>-43705.849999999926</v>
      </c>
      <c r="CT183" s="33">
        <v>0</v>
      </c>
      <c r="CU183" s="65">
        <v>-43705.85</v>
      </c>
      <c r="CV183" s="65">
        <v>0</v>
      </c>
      <c r="CW183" s="65">
        <v>7.2759576141834259E-11</v>
      </c>
      <c r="CX183" s="33">
        <v>0</v>
      </c>
      <c r="CY183" s="33">
        <v>-43705.85</v>
      </c>
      <c r="CZ183" s="66">
        <v>0</v>
      </c>
      <c r="DA183" s="33">
        <v>0</v>
      </c>
      <c r="DB183" s="33">
        <v>0</v>
      </c>
      <c r="DC183" s="33">
        <v>-1.6007106751203537E-10</v>
      </c>
      <c r="DF183" s="33">
        <v>7.2759576141834259E-11</v>
      </c>
      <c r="DI183" s="33">
        <v>-43705.849999999926</v>
      </c>
      <c r="DJ183" s="33">
        <v>0</v>
      </c>
      <c r="DK183" s="65">
        <v>-43705.85</v>
      </c>
      <c r="DL183" s="65">
        <v>0</v>
      </c>
      <c r="DQ183" s="115">
        <v>3303352</v>
      </c>
      <c r="DS183" s="33">
        <v>0</v>
      </c>
      <c r="DT183" s="33">
        <v>1427370.35</v>
      </c>
      <c r="DU183" s="33">
        <v>1477203.52</v>
      </c>
      <c r="DV183" s="33">
        <v>-49833.169999999925</v>
      </c>
      <c r="DW183" s="33">
        <v>6973.56</v>
      </c>
      <c r="DX183" s="33">
        <v>6973.56</v>
      </c>
      <c r="DY183" s="33">
        <v>0</v>
      </c>
    </row>
    <row r="184" spans="2:129" x14ac:dyDescent="0.35">
      <c r="B184" s="87">
        <v>3353</v>
      </c>
      <c r="C184" s="115">
        <v>3303353</v>
      </c>
      <c r="D184" s="116" t="s">
        <v>485</v>
      </c>
      <c r="E184" s="116" t="s">
        <v>486</v>
      </c>
      <c r="F184" s="117"/>
      <c r="G184" s="118"/>
      <c r="H184" s="115"/>
      <c r="I184" s="115"/>
      <c r="J184" s="115"/>
      <c r="K184" s="115"/>
      <c r="L184" s="115"/>
      <c r="M184" s="115"/>
      <c r="N184" s="115"/>
      <c r="O184" s="115"/>
      <c r="P184" s="115"/>
      <c r="Q184" s="115"/>
      <c r="R184" s="115"/>
      <c r="S184" s="119"/>
      <c r="T184" s="119"/>
      <c r="U184" s="119"/>
      <c r="V184" s="119"/>
      <c r="W184" s="119"/>
      <c r="X184" s="119"/>
      <c r="Y184" s="120">
        <v>369678.51</v>
      </c>
      <c r="Z184" s="120"/>
      <c r="AA184" s="120">
        <v>0</v>
      </c>
      <c r="AB184" s="121">
        <v>2979176.32</v>
      </c>
      <c r="AC184" s="121">
        <v>0</v>
      </c>
      <c r="AD184" s="121">
        <v>21756.63</v>
      </c>
      <c r="AE184" s="121">
        <v>0</v>
      </c>
      <c r="AF184" s="121">
        <v>194751</v>
      </c>
      <c r="AG184" s="121">
        <v>25396.93</v>
      </c>
      <c r="AH184" s="121">
        <v>0</v>
      </c>
      <c r="AI184" s="121">
        <v>0</v>
      </c>
      <c r="AJ184" s="121">
        <v>190045.29000000039</v>
      </c>
      <c r="AK184" s="121">
        <v>0</v>
      </c>
      <c r="AL184" s="121">
        <v>0</v>
      </c>
      <c r="AM184" s="121">
        <v>0</v>
      </c>
      <c r="AN184" s="121">
        <v>33420.33</v>
      </c>
      <c r="AO184" s="121">
        <v>0</v>
      </c>
      <c r="AP184" s="121">
        <v>0</v>
      </c>
      <c r="AQ184" s="121">
        <v>0</v>
      </c>
      <c r="AR184" s="121">
        <v>0</v>
      </c>
      <c r="AS184" s="121">
        <v>0</v>
      </c>
      <c r="AT184" s="121">
        <v>0</v>
      </c>
      <c r="AU184" s="121">
        <v>22982.400000000001</v>
      </c>
      <c r="AV184" s="121">
        <v>128834</v>
      </c>
      <c r="AW184" s="121">
        <v>1684673.28</v>
      </c>
      <c r="AX184" s="121">
        <v>0</v>
      </c>
      <c r="AY184" s="121">
        <v>503921.38</v>
      </c>
      <c r="AZ184" s="121">
        <v>47961.440000000002</v>
      </c>
      <c r="BA184" s="121">
        <v>373818.75</v>
      </c>
      <c r="BB184" s="121">
        <v>0</v>
      </c>
      <c r="BC184" s="121">
        <v>61002.91</v>
      </c>
      <c r="BD184" s="121">
        <v>338.5</v>
      </c>
      <c r="BE184" s="121">
        <v>13383.49</v>
      </c>
      <c r="BF184" s="121">
        <v>0</v>
      </c>
      <c r="BG184" s="121">
        <v>0</v>
      </c>
      <c r="BH184" s="121">
        <v>8794.6</v>
      </c>
      <c r="BI184" s="121">
        <v>4076.86</v>
      </c>
      <c r="BJ184" s="121">
        <v>56458.38</v>
      </c>
      <c r="BK184" s="121">
        <v>9939.7000000000007</v>
      </c>
      <c r="BL184" s="121">
        <v>77471.3</v>
      </c>
      <c r="BM184" s="121">
        <v>0</v>
      </c>
      <c r="BN184" s="121">
        <v>53217.61</v>
      </c>
      <c r="BO184" s="121">
        <v>82187.19</v>
      </c>
      <c r="BP184" s="121">
        <v>65.09</v>
      </c>
      <c r="BQ184" s="121">
        <v>108.18</v>
      </c>
      <c r="BR184" s="121">
        <v>157282.26999999999</v>
      </c>
      <c r="BS184" s="121">
        <v>17853</v>
      </c>
      <c r="BT184" s="121">
        <v>0</v>
      </c>
      <c r="BU184" s="121">
        <v>225650.94</v>
      </c>
      <c r="BV184" s="121">
        <v>118881.53</v>
      </c>
      <c r="BW184" s="121">
        <v>1500</v>
      </c>
      <c r="BX184" s="121">
        <v>165904.43</v>
      </c>
      <c r="BY184" s="121">
        <v>0</v>
      </c>
      <c r="BZ184" s="121">
        <v>0</v>
      </c>
      <c r="CA184" s="121">
        <v>4996.38</v>
      </c>
      <c r="CB184" s="121">
        <v>0</v>
      </c>
      <c r="CC184" s="121">
        <v>0</v>
      </c>
      <c r="CD184" s="121">
        <v>12229.65</v>
      </c>
      <c r="CE184" s="121">
        <v>0</v>
      </c>
      <c r="CF184" s="121">
        <v>4996.38</v>
      </c>
      <c r="CG184" s="121">
        <v>0</v>
      </c>
      <c r="CH184" s="121">
        <v>0</v>
      </c>
      <c r="CI184" s="121">
        <v>12229.65</v>
      </c>
      <c r="CJ184" s="121">
        <v>4996.38</v>
      </c>
      <c r="CK184" s="121">
        <v>0</v>
      </c>
      <c r="CL184" s="121">
        <v>296554.20000000042</v>
      </c>
      <c r="CM184" s="121"/>
      <c r="CN184" s="121">
        <v>0</v>
      </c>
      <c r="CO184" s="121">
        <v>0</v>
      </c>
      <c r="CP184" s="121">
        <v>0</v>
      </c>
      <c r="CQ184" s="121">
        <v>0</v>
      </c>
      <c r="CR184" s="118"/>
      <c r="CS184" s="33">
        <v>296554.20000000042</v>
      </c>
      <c r="CT184" s="33">
        <v>0</v>
      </c>
      <c r="CU184" s="65">
        <v>301550.58</v>
      </c>
      <c r="CV184" s="65">
        <v>-4996.38</v>
      </c>
      <c r="CW184" s="65">
        <v>-4996.3799999995972</v>
      </c>
      <c r="CX184" s="33">
        <v>-4996.38</v>
      </c>
      <c r="CY184" s="33">
        <v>296554.2</v>
      </c>
      <c r="CZ184" s="66">
        <v>0</v>
      </c>
      <c r="DA184" s="33">
        <v>0</v>
      </c>
      <c r="DB184" s="33">
        <v>9.9999996018595994E-3</v>
      </c>
      <c r="DC184" s="33">
        <v>0</v>
      </c>
      <c r="DD184" s="65">
        <v>-4996.38</v>
      </c>
      <c r="DF184" s="33">
        <v>4.0290615288540721E-10</v>
      </c>
      <c r="DI184" s="33">
        <v>296554.20000000042</v>
      </c>
      <c r="DJ184" s="33">
        <v>0</v>
      </c>
      <c r="DK184" s="65">
        <v>301550.58</v>
      </c>
      <c r="DL184" s="65">
        <v>-4996.38</v>
      </c>
      <c r="DQ184" s="115">
        <v>3303353</v>
      </c>
      <c r="DS184" s="33">
        <v>0</v>
      </c>
      <c r="DT184" s="33">
        <v>3596362.9000000004</v>
      </c>
      <c r="DU184" s="33">
        <v>3669487.21</v>
      </c>
      <c r="DV184" s="33">
        <v>-73124.30999999959</v>
      </c>
      <c r="DW184" s="33">
        <v>17226.03</v>
      </c>
      <c r="DX184" s="33">
        <v>17226.03</v>
      </c>
      <c r="DY184" s="33">
        <v>0</v>
      </c>
    </row>
    <row r="185" spans="2:129" x14ac:dyDescent="0.35">
      <c r="B185" s="87">
        <v>3361</v>
      </c>
      <c r="C185" s="115">
        <v>3303361</v>
      </c>
      <c r="D185" s="116" t="s">
        <v>487</v>
      </c>
      <c r="E185" s="116" t="s">
        <v>488</v>
      </c>
      <c r="F185" s="117"/>
      <c r="G185" s="118"/>
      <c r="H185" s="115"/>
      <c r="I185" s="115"/>
      <c r="J185" s="115"/>
      <c r="K185" s="115"/>
      <c r="L185" s="115"/>
      <c r="M185" s="115"/>
      <c r="N185" s="115"/>
      <c r="O185" s="115"/>
      <c r="P185" s="115"/>
      <c r="Q185" s="115"/>
      <c r="R185" s="115"/>
      <c r="S185" s="119"/>
      <c r="T185" s="119"/>
      <c r="U185" s="119"/>
      <c r="V185" s="119"/>
      <c r="W185" s="119"/>
      <c r="X185" s="119"/>
      <c r="Y185" s="120">
        <v>205147.28</v>
      </c>
      <c r="Z185" s="120"/>
      <c r="AA185" s="120">
        <v>0</v>
      </c>
      <c r="AB185" s="121">
        <v>2024929.56</v>
      </c>
      <c r="AC185" s="121">
        <v>0</v>
      </c>
      <c r="AD185" s="121">
        <v>28322.5</v>
      </c>
      <c r="AE185" s="121">
        <v>0</v>
      </c>
      <c r="AF185" s="121">
        <v>245896.5</v>
      </c>
      <c r="AG185" s="121">
        <v>5656.93</v>
      </c>
      <c r="AH185" s="121">
        <v>0</v>
      </c>
      <c r="AI185" s="121">
        <v>0</v>
      </c>
      <c r="AJ185" s="121">
        <v>26399.14</v>
      </c>
      <c r="AK185" s="121">
        <v>0</v>
      </c>
      <c r="AL185" s="121">
        <v>0</v>
      </c>
      <c r="AM185" s="121">
        <v>0</v>
      </c>
      <c r="AN185" s="121">
        <v>22020.13</v>
      </c>
      <c r="AO185" s="121">
        <v>0</v>
      </c>
      <c r="AP185" s="121">
        <v>0</v>
      </c>
      <c r="AQ185" s="121">
        <v>0</v>
      </c>
      <c r="AR185" s="121">
        <v>0</v>
      </c>
      <c r="AS185" s="121">
        <v>0</v>
      </c>
      <c r="AT185" s="121">
        <v>0</v>
      </c>
      <c r="AU185" s="121">
        <v>27947.96</v>
      </c>
      <c r="AV185" s="121">
        <v>51582</v>
      </c>
      <c r="AW185" s="121">
        <v>1133119.58</v>
      </c>
      <c r="AX185" s="121">
        <v>0</v>
      </c>
      <c r="AY185" s="121">
        <v>461261.05</v>
      </c>
      <c r="AZ185" s="121">
        <v>39579.870000000003</v>
      </c>
      <c r="BA185" s="121">
        <v>113164.47</v>
      </c>
      <c r="BB185" s="121">
        <v>0</v>
      </c>
      <c r="BC185" s="121">
        <v>33565.32</v>
      </c>
      <c r="BD185" s="121">
        <v>1167.24</v>
      </c>
      <c r="BE185" s="121">
        <v>8847.7199999999993</v>
      </c>
      <c r="BF185" s="121">
        <v>0</v>
      </c>
      <c r="BG185" s="121">
        <v>0</v>
      </c>
      <c r="BH185" s="121">
        <v>44408.85</v>
      </c>
      <c r="BI185" s="121">
        <v>5506.94</v>
      </c>
      <c r="BJ185" s="121">
        <v>34684.06</v>
      </c>
      <c r="BK185" s="121">
        <v>12182.87</v>
      </c>
      <c r="BL185" s="121">
        <v>39903.46</v>
      </c>
      <c r="BM185" s="121">
        <v>0</v>
      </c>
      <c r="BN185" s="121">
        <v>5199.18</v>
      </c>
      <c r="BO185" s="121">
        <v>88802.249999999694</v>
      </c>
      <c r="BP185" s="121">
        <v>14813.41</v>
      </c>
      <c r="BQ185" s="121">
        <v>36931.360000000001</v>
      </c>
      <c r="BR185" s="121">
        <v>37544.480000000003</v>
      </c>
      <c r="BS185" s="121">
        <v>14144.77</v>
      </c>
      <c r="BT185" s="121">
        <v>0</v>
      </c>
      <c r="BU185" s="121">
        <v>143863.79999999999</v>
      </c>
      <c r="BV185" s="121">
        <v>29478.91</v>
      </c>
      <c r="BW185" s="121">
        <v>0</v>
      </c>
      <c r="BX185" s="121">
        <v>70000.490000000005</v>
      </c>
      <c r="BY185" s="121">
        <v>0</v>
      </c>
      <c r="BZ185" s="121">
        <v>0</v>
      </c>
      <c r="CA185" s="121">
        <v>90</v>
      </c>
      <c r="CB185" s="121">
        <v>0</v>
      </c>
      <c r="CC185" s="121">
        <v>0</v>
      </c>
      <c r="CD185" s="121">
        <v>9037.85</v>
      </c>
      <c r="CE185" s="121">
        <v>0</v>
      </c>
      <c r="CF185" s="121">
        <v>90</v>
      </c>
      <c r="CG185" s="121">
        <v>0</v>
      </c>
      <c r="CH185" s="121">
        <v>0</v>
      </c>
      <c r="CI185" s="121">
        <v>9037.85</v>
      </c>
      <c r="CJ185" s="121">
        <v>90</v>
      </c>
      <c r="CK185" s="121">
        <v>0</v>
      </c>
      <c r="CL185" s="121">
        <v>269641.91999999969</v>
      </c>
      <c r="CM185" s="121"/>
      <c r="CN185" s="121">
        <v>0</v>
      </c>
      <c r="CO185" s="121">
        <v>0</v>
      </c>
      <c r="CP185" s="121">
        <v>0</v>
      </c>
      <c r="CQ185" s="121">
        <v>0</v>
      </c>
      <c r="CR185" s="118"/>
      <c r="CS185" s="33">
        <v>269641.91999999969</v>
      </c>
      <c r="CT185" s="33">
        <v>0</v>
      </c>
      <c r="CU185" s="65">
        <v>269731.92</v>
      </c>
      <c r="CV185" s="65">
        <v>-90</v>
      </c>
      <c r="CW185" s="65">
        <v>-90.000000000291038</v>
      </c>
      <c r="CX185" s="33">
        <v>-90</v>
      </c>
      <c r="CY185" s="33">
        <v>269641.92</v>
      </c>
      <c r="CZ185" s="66">
        <v>0</v>
      </c>
      <c r="DA185" s="33">
        <v>0</v>
      </c>
      <c r="DB185" s="33">
        <v>0</v>
      </c>
      <c r="DC185" s="33">
        <v>-2.0000000309664756E-2</v>
      </c>
      <c r="DD185" s="65">
        <v>-90</v>
      </c>
      <c r="DF185" s="33">
        <v>-2.9103830456733704E-10</v>
      </c>
      <c r="DI185" s="33">
        <v>269641.91999999969</v>
      </c>
      <c r="DJ185" s="33">
        <v>0</v>
      </c>
      <c r="DK185" s="65">
        <v>269731.92</v>
      </c>
      <c r="DL185" s="65">
        <v>-90</v>
      </c>
      <c r="DQ185" s="115">
        <v>3303361</v>
      </c>
      <c r="DS185" s="33">
        <v>0</v>
      </c>
      <c r="DT185" s="33">
        <v>2432754.7200000002</v>
      </c>
      <c r="DU185" s="33">
        <v>2368260.0800000005</v>
      </c>
      <c r="DV185" s="33">
        <v>64494.639999999665</v>
      </c>
      <c r="DW185" s="33">
        <v>9127.85</v>
      </c>
      <c r="DX185" s="33">
        <v>9127.85</v>
      </c>
      <c r="DY185" s="33">
        <v>0</v>
      </c>
    </row>
    <row r="186" spans="2:129" x14ac:dyDescent="0.35">
      <c r="B186" s="87">
        <v>3363</v>
      </c>
      <c r="C186" s="115">
        <v>3303363</v>
      </c>
      <c r="D186" s="116" t="s">
        <v>489</v>
      </c>
      <c r="E186" s="116" t="s">
        <v>490</v>
      </c>
      <c r="F186" s="117"/>
      <c r="G186" s="118"/>
      <c r="H186" s="115"/>
      <c r="I186" s="115"/>
      <c r="J186" s="115"/>
      <c r="K186" s="115"/>
      <c r="L186" s="115"/>
      <c r="M186" s="115"/>
      <c r="N186" s="115"/>
      <c r="O186" s="115"/>
      <c r="P186" s="115"/>
      <c r="Q186" s="115"/>
      <c r="R186" s="115"/>
      <c r="S186" s="119"/>
      <c r="T186" s="119"/>
      <c r="U186" s="119"/>
      <c r="V186" s="119"/>
      <c r="W186" s="119"/>
      <c r="X186" s="119"/>
      <c r="Y186" s="120">
        <v>270107.13</v>
      </c>
      <c r="Z186" s="120"/>
      <c r="AA186" s="120">
        <v>0</v>
      </c>
      <c r="AB186" s="121">
        <v>1809338.59</v>
      </c>
      <c r="AC186" s="121">
        <v>0</v>
      </c>
      <c r="AD186" s="121">
        <v>25884.32</v>
      </c>
      <c r="AE186" s="121">
        <v>0</v>
      </c>
      <c r="AF186" s="121">
        <v>186531</v>
      </c>
      <c r="AG186" s="121">
        <v>6370.79</v>
      </c>
      <c r="AH186" s="121">
        <v>0</v>
      </c>
      <c r="AI186" s="121">
        <v>0</v>
      </c>
      <c r="AJ186" s="121">
        <v>39207.850000000581</v>
      </c>
      <c r="AK186" s="121">
        <v>0</v>
      </c>
      <c r="AL186" s="121">
        <v>0</v>
      </c>
      <c r="AM186" s="121">
        <v>0</v>
      </c>
      <c r="AN186" s="121">
        <v>55153.77</v>
      </c>
      <c r="AO186" s="121">
        <v>0</v>
      </c>
      <c r="AP186" s="121">
        <v>0</v>
      </c>
      <c r="AQ186" s="121">
        <v>0</v>
      </c>
      <c r="AR186" s="121">
        <v>0</v>
      </c>
      <c r="AS186" s="121">
        <v>0</v>
      </c>
      <c r="AT186" s="121">
        <v>0</v>
      </c>
      <c r="AU186" s="121">
        <v>31166.880000000001</v>
      </c>
      <c r="AV186" s="121">
        <v>57916</v>
      </c>
      <c r="AW186" s="121">
        <v>962595.7</v>
      </c>
      <c r="AX186" s="121">
        <v>0</v>
      </c>
      <c r="AY186" s="121">
        <v>368914.81</v>
      </c>
      <c r="AZ186" s="121">
        <v>43143.199999999997</v>
      </c>
      <c r="BA186" s="121">
        <v>216199.25</v>
      </c>
      <c r="BB186" s="121">
        <v>0</v>
      </c>
      <c r="BC186" s="121">
        <v>84813.82</v>
      </c>
      <c r="BD186" s="121">
        <v>585</v>
      </c>
      <c r="BE186" s="121">
        <v>9909</v>
      </c>
      <c r="BF186" s="121">
        <v>0</v>
      </c>
      <c r="BG186" s="121">
        <v>0</v>
      </c>
      <c r="BH186" s="121">
        <v>81842.73</v>
      </c>
      <c r="BI186" s="121">
        <v>0</v>
      </c>
      <c r="BJ186" s="121">
        <v>36271.61</v>
      </c>
      <c r="BK186" s="121">
        <v>4073.07</v>
      </c>
      <c r="BL186" s="121">
        <v>53948.43</v>
      </c>
      <c r="BM186" s="121">
        <v>6740.74</v>
      </c>
      <c r="BN186" s="121">
        <v>5267.87</v>
      </c>
      <c r="BO186" s="121">
        <v>34052.29</v>
      </c>
      <c r="BP186" s="121">
        <v>16963.87</v>
      </c>
      <c r="BQ186" s="121">
        <v>0</v>
      </c>
      <c r="BR186" s="121">
        <v>65852.210000000006</v>
      </c>
      <c r="BS186" s="121">
        <v>4895</v>
      </c>
      <c r="BT186" s="121">
        <v>5002</v>
      </c>
      <c r="BU186" s="121">
        <v>105816.61</v>
      </c>
      <c r="BV186" s="121">
        <v>21873.85</v>
      </c>
      <c r="BW186" s="121">
        <v>0</v>
      </c>
      <c r="BX186" s="121">
        <v>103939.06</v>
      </c>
      <c r="BY186" s="121">
        <v>0</v>
      </c>
      <c r="BZ186" s="121">
        <v>0</v>
      </c>
      <c r="CA186" s="121">
        <v>0</v>
      </c>
      <c r="CB186" s="121">
        <v>0</v>
      </c>
      <c r="CC186" s="121">
        <v>0</v>
      </c>
      <c r="CD186" s="121">
        <v>8923.64</v>
      </c>
      <c r="CE186" s="121">
        <v>0</v>
      </c>
      <c r="CF186" s="121">
        <v>0</v>
      </c>
      <c r="CG186" s="121">
        <v>0</v>
      </c>
      <c r="CH186" s="121">
        <v>0</v>
      </c>
      <c r="CI186" s="121">
        <v>8923.64</v>
      </c>
      <c r="CJ186" s="121">
        <v>0</v>
      </c>
      <c r="CK186" s="121">
        <v>0</v>
      </c>
      <c r="CL186" s="121">
        <v>248976.21000000008</v>
      </c>
      <c r="CM186" s="121"/>
      <c r="CN186" s="121">
        <v>0</v>
      </c>
      <c r="CO186" s="121">
        <v>0</v>
      </c>
      <c r="CP186" s="121">
        <v>0</v>
      </c>
      <c r="CQ186" s="121">
        <v>0</v>
      </c>
      <c r="CR186" s="118"/>
      <c r="CS186" s="33">
        <v>248976.21000000008</v>
      </c>
      <c r="CT186" s="33">
        <v>0</v>
      </c>
      <c r="CU186" s="65">
        <v>248976.21</v>
      </c>
      <c r="CV186" s="65">
        <v>0</v>
      </c>
      <c r="CW186" s="65">
        <v>0</v>
      </c>
      <c r="CX186" s="33">
        <v>0</v>
      </c>
      <c r="CY186" s="33">
        <v>248976.21</v>
      </c>
      <c r="CZ186" s="66">
        <v>0</v>
      </c>
      <c r="DA186" s="33">
        <v>0</v>
      </c>
      <c r="DB186" s="33">
        <v>2.9999999416759238E-2</v>
      </c>
      <c r="DC186" s="33">
        <v>0</v>
      </c>
      <c r="DF186" s="33">
        <v>8.7311491370201111E-11</v>
      </c>
      <c r="DI186" s="33">
        <v>248976.21000000008</v>
      </c>
      <c r="DJ186" s="33">
        <v>0</v>
      </c>
      <c r="DK186" s="65">
        <v>248976.21</v>
      </c>
      <c r="DL186" s="65">
        <v>0</v>
      </c>
      <c r="DQ186" s="115">
        <v>3303363</v>
      </c>
      <c r="DS186" s="33">
        <v>0</v>
      </c>
      <c r="DT186" s="33">
        <v>2211569.2000000007</v>
      </c>
      <c r="DU186" s="33">
        <v>2232700.1200000006</v>
      </c>
      <c r="DV186" s="33">
        <v>-21130.919999999925</v>
      </c>
      <c r="DW186" s="33">
        <v>8923.64</v>
      </c>
      <c r="DX186" s="33">
        <v>8923.64</v>
      </c>
      <c r="DY186" s="33">
        <v>0</v>
      </c>
    </row>
    <row r="187" spans="2:129" x14ac:dyDescent="0.35">
      <c r="B187" s="87">
        <v>3365</v>
      </c>
      <c r="C187" s="115">
        <v>3303365</v>
      </c>
      <c r="D187" s="116" t="s">
        <v>491</v>
      </c>
      <c r="E187" s="116" t="s">
        <v>492</v>
      </c>
      <c r="F187" s="117"/>
      <c r="G187" s="118"/>
      <c r="H187" s="115"/>
      <c r="I187" s="115"/>
      <c r="J187" s="115"/>
      <c r="K187" s="115"/>
      <c r="L187" s="115"/>
      <c r="M187" s="115"/>
      <c r="N187" s="115"/>
      <c r="O187" s="115"/>
      <c r="P187" s="115"/>
      <c r="Q187" s="115"/>
      <c r="R187" s="115"/>
      <c r="S187" s="119"/>
      <c r="T187" s="119"/>
      <c r="U187" s="119"/>
      <c r="V187" s="119"/>
      <c r="W187" s="119"/>
      <c r="X187" s="119"/>
      <c r="Y187" s="120">
        <v>322526.53000000003</v>
      </c>
      <c r="Z187" s="120"/>
      <c r="AA187" s="120">
        <v>0</v>
      </c>
      <c r="AB187" s="121">
        <v>1076715.24</v>
      </c>
      <c r="AC187" s="121">
        <v>0</v>
      </c>
      <c r="AD187" s="121">
        <v>68101.25</v>
      </c>
      <c r="AE187" s="121">
        <v>0</v>
      </c>
      <c r="AF187" s="121">
        <v>63956.5</v>
      </c>
      <c r="AG187" s="121">
        <v>1200</v>
      </c>
      <c r="AH187" s="121">
        <v>0</v>
      </c>
      <c r="AI187" s="121">
        <v>0</v>
      </c>
      <c r="AJ187" s="121">
        <v>603.72999999998956</v>
      </c>
      <c r="AK187" s="121">
        <v>0</v>
      </c>
      <c r="AL187" s="121">
        <v>0</v>
      </c>
      <c r="AM187" s="121">
        <v>0</v>
      </c>
      <c r="AN187" s="121">
        <v>31788.91</v>
      </c>
      <c r="AO187" s="121">
        <v>0</v>
      </c>
      <c r="AP187" s="121">
        <v>0</v>
      </c>
      <c r="AQ187" s="121">
        <v>0</v>
      </c>
      <c r="AR187" s="121">
        <v>0</v>
      </c>
      <c r="AS187" s="121">
        <v>0</v>
      </c>
      <c r="AT187" s="121">
        <v>0</v>
      </c>
      <c r="AU187" s="121">
        <v>3771.5</v>
      </c>
      <c r="AV187" s="121">
        <v>50073</v>
      </c>
      <c r="AW187" s="121">
        <v>581896.54</v>
      </c>
      <c r="AX187" s="121">
        <v>0</v>
      </c>
      <c r="AY187" s="121">
        <v>219567.27</v>
      </c>
      <c r="AZ187" s="121">
        <v>53612.39</v>
      </c>
      <c r="BA187" s="121">
        <v>77629.210000000006</v>
      </c>
      <c r="BB187" s="121">
        <v>0</v>
      </c>
      <c r="BC187" s="121">
        <v>15095.45</v>
      </c>
      <c r="BD187" s="121">
        <v>1795</v>
      </c>
      <c r="BE187" s="121">
        <v>1275</v>
      </c>
      <c r="BF187" s="121">
        <v>0</v>
      </c>
      <c r="BG187" s="121">
        <v>0</v>
      </c>
      <c r="BH187" s="121">
        <v>37577.46</v>
      </c>
      <c r="BI187" s="121">
        <v>60.97</v>
      </c>
      <c r="BJ187" s="121">
        <v>15101.64</v>
      </c>
      <c r="BK187" s="121">
        <v>3616.57</v>
      </c>
      <c r="BL187" s="121">
        <v>19219.5</v>
      </c>
      <c r="BM187" s="121">
        <v>0</v>
      </c>
      <c r="BN187" s="121">
        <v>2815.96</v>
      </c>
      <c r="BO187" s="121">
        <v>62712.97</v>
      </c>
      <c r="BP187" s="121">
        <v>2429.4299999999998</v>
      </c>
      <c r="BQ187" s="121">
        <v>298.55</v>
      </c>
      <c r="BR187" s="121">
        <v>14242.12</v>
      </c>
      <c r="BS187" s="121">
        <v>4895</v>
      </c>
      <c r="BT187" s="121">
        <v>0</v>
      </c>
      <c r="BU187" s="121">
        <v>104320.72</v>
      </c>
      <c r="BV187" s="121">
        <v>145087.72</v>
      </c>
      <c r="BW187" s="121">
        <v>597.72</v>
      </c>
      <c r="BX187" s="121">
        <v>89814.68</v>
      </c>
      <c r="BY187" s="121">
        <v>0</v>
      </c>
      <c r="BZ187" s="121">
        <v>0</v>
      </c>
      <c r="CA187" s="121">
        <v>0</v>
      </c>
      <c r="CB187" s="121">
        <v>0</v>
      </c>
      <c r="CC187" s="121">
        <v>0</v>
      </c>
      <c r="CD187" s="121">
        <v>6859.35</v>
      </c>
      <c r="CE187" s="121">
        <v>0</v>
      </c>
      <c r="CF187" s="121">
        <v>0</v>
      </c>
      <c r="CG187" s="121">
        <v>0</v>
      </c>
      <c r="CH187" s="121">
        <v>0</v>
      </c>
      <c r="CI187" s="121">
        <v>6859.35</v>
      </c>
      <c r="CJ187" s="121">
        <v>0</v>
      </c>
      <c r="CK187" s="121">
        <v>0</v>
      </c>
      <c r="CL187" s="121">
        <v>165074.79000000004</v>
      </c>
      <c r="CM187" s="121"/>
      <c r="CN187" s="121">
        <v>0</v>
      </c>
      <c r="CO187" s="121">
        <v>0</v>
      </c>
      <c r="CP187" s="121">
        <v>0</v>
      </c>
      <c r="CQ187" s="121">
        <v>0</v>
      </c>
      <c r="CR187" s="118"/>
      <c r="CS187" s="33">
        <v>165074.79000000004</v>
      </c>
      <c r="CT187" s="33">
        <v>0</v>
      </c>
      <c r="CU187" s="65">
        <v>165074.79</v>
      </c>
      <c r="CV187" s="65">
        <v>0</v>
      </c>
      <c r="CW187" s="65">
        <v>0</v>
      </c>
      <c r="CX187" s="33">
        <v>0</v>
      </c>
      <c r="CY187" s="33">
        <v>165074.79</v>
      </c>
      <c r="CZ187" s="66">
        <v>0</v>
      </c>
      <c r="DA187" s="33">
        <v>0</v>
      </c>
      <c r="DB187" s="33">
        <v>603.73000000001048</v>
      </c>
      <c r="DC187" s="33">
        <v>0</v>
      </c>
      <c r="DF187" s="33">
        <v>2.9103830456733704E-11</v>
      </c>
      <c r="DI187" s="33">
        <v>165074.79000000004</v>
      </c>
      <c r="DJ187" s="33">
        <v>0</v>
      </c>
      <c r="DK187" s="65">
        <v>165074.79</v>
      </c>
      <c r="DL187" s="65">
        <v>0</v>
      </c>
      <c r="DQ187" s="115">
        <v>3303365</v>
      </c>
      <c r="DS187" s="33">
        <v>0</v>
      </c>
      <c r="DT187" s="33">
        <v>1296210.1299999999</v>
      </c>
      <c r="DU187" s="33">
        <v>1453661.8699999999</v>
      </c>
      <c r="DV187" s="33">
        <v>-157451.74</v>
      </c>
      <c r="DW187" s="33">
        <v>6859.35</v>
      </c>
      <c r="DX187" s="33">
        <v>6859.35</v>
      </c>
      <c r="DY187" s="33">
        <v>0</v>
      </c>
    </row>
    <row r="188" spans="2:129" x14ac:dyDescent="0.35">
      <c r="B188" s="87">
        <v>3367</v>
      </c>
      <c r="C188" s="115">
        <v>3303367</v>
      </c>
      <c r="D188" s="116" t="s">
        <v>493</v>
      </c>
      <c r="E188" s="116" t="s">
        <v>494</v>
      </c>
      <c r="F188" s="117"/>
      <c r="G188" s="118"/>
      <c r="H188" s="115"/>
      <c r="I188" s="115"/>
      <c r="J188" s="115"/>
      <c r="K188" s="115"/>
      <c r="L188" s="115"/>
      <c r="M188" s="115"/>
      <c r="N188" s="115"/>
      <c r="O188" s="115"/>
      <c r="P188" s="115"/>
      <c r="Q188" s="115"/>
      <c r="R188" s="115"/>
      <c r="S188" s="119"/>
      <c r="T188" s="119"/>
      <c r="U188" s="119"/>
      <c r="V188" s="119"/>
      <c r="W188" s="119"/>
      <c r="X188" s="119"/>
      <c r="Y188" s="120">
        <v>120538.87</v>
      </c>
      <c r="Z188" s="120"/>
      <c r="AA188" s="120">
        <v>0</v>
      </c>
      <c r="AB188" s="121">
        <v>1276835.67</v>
      </c>
      <c r="AC188" s="121">
        <v>0</v>
      </c>
      <c r="AD188" s="121">
        <v>13990</v>
      </c>
      <c r="AE188" s="121">
        <v>0</v>
      </c>
      <c r="AF188" s="121">
        <v>122916.5</v>
      </c>
      <c r="AG188" s="121">
        <v>200</v>
      </c>
      <c r="AH188" s="121">
        <v>0</v>
      </c>
      <c r="AI188" s="121">
        <v>0</v>
      </c>
      <c r="AJ188" s="121">
        <v>34315.760000000002</v>
      </c>
      <c r="AK188" s="121">
        <v>0</v>
      </c>
      <c r="AL188" s="121">
        <v>0</v>
      </c>
      <c r="AM188" s="121">
        <v>0</v>
      </c>
      <c r="AN188" s="121">
        <v>949</v>
      </c>
      <c r="AO188" s="121">
        <v>0</v>
      </c>
      <c r="AP188" s="121">
        <v>0</v>
      </c>
      <c r="AQ188" s="121">
        <v>0</v>
      </c>
      <c r="AR188" s="121">
        <v>0</v>
      </c>
      <c r="AS188" s="121">
        <v>0</v>
      </c>
      <c r="AT188" s="121">
        <v>0</v>
      </c>
      <c r="AU188" s="121">
        <v>8907.2800000000007</v>
      </c>
      <c r="AV188" s="121">
        <v>39484</v>
      </c>
      <c r="AW188" s="121">
        <v>708873.89</v>
      </c>
      <c r="AX188" s="121">
        <v>0</v>
      </c>
      <c r="AY188" s="121">
        <v>210763.8</v>
      </c>
      <c r="AZ188" s="121">
        <v>0</v>
      </c>
      <c r="BA188" s="121">
        <v>183762.06</v>
      </c>
      <c r="BB188" s="121">
        <v>0</v>
      </c>
      <c r="BC188" s="121">
        <v>33601.14</v>
      </c>
      <c r="BD188" s="121">
        <v>0</v>
      </c>
      <c r="BE188" s="121">
        <v>5358.34</v>
      </c>
      <c r="BF188" s="121">
        <v>0</v>
      </c>
      <c r="BG188" s="121">
        <v>0</v>
      </c>
      <c r="BH188" s="121">
        <v>11471.27</v>
      </c>
      <c r="BI188" s="121">
        <v>10727.23</v>
      </c>
      <c r="BJ188" s="121">
        <v>2291.37</v>
      </c>
      <c r="BK188" s="121">
        <v>5953.38</v>
      </c>
      <c r="BL188" s="121">
        <v>28738.11</v>
      </c>
      <c r="BM188" s="121">
        <v>0</v>
      </c>
      <c r="BN188" s="121">
        <v>2100.8000000000002</v>
      </c>
      <c r="BO188" s="121">
        <v>44985.759999999696</v>
      </c>
      <c r="BP188" s="121">
        <v>8172.4</v>
      </c>
      <c r="BQ188" s="121">
        <v>2461.33</v>
      </c>
      <c r="BR188" s="121">
        <v>20644.45</v>
      </c>
      <c r="BS188" s="121">
        <v>8985.9699999999993</v>
      </c>
      <c r="BT188" s="121">
        <v>3616.8</v>
      </c>
      <c r="BU188" s="121">
        <v>87611.36</v>
      </c>
      <c r="BV188" s="121">
        <v>21349.599999999999</v>
      </c>
      <c r="BW188" s="121">
        <v>0</v>
      </c>
      <c r="BX188" s="121">
        <v>93292.94</v>
      </c>
      <c r="BY188" s="121">
        <v>0</v>
      </c>
      <c r="BZ188" s="121">
        <v>0</v>
      </c>
      <c r="CA188" s="121">
        <v>0</v>
      </c>
      <c r="CB188" s="121">
        <v>0</v>
      </c>
      <c r="CC188" s="121">
        <v>0</v>
      </c>
      <c r="CD188" s="121">
        <v>7141.23</v>
      </c>
      <c r="CE188" s="121">
        <v>0</v>
      </c>
      <c r="CF188" s="121">
        <v>0</v>
      </c>
      <c r="CG188" s="121">
        <v>0</v>
      </c>
      <c r="CH188" s="121">
        <v>0</v>
      </c>
      <c r="CI188" s="121">
        <v>7141.23</v>
      </c>
      <c r="CJ188" s="121">
        <v>0</v>
      </c>
      <c r="CK188" s="121">
        <v>0</v>
      </c>
      <c r="CL188" s="121">
        <v>123375.07999999996</v>
      </c>
      <c r="CM188" s="121"/>
      <c r="CN188" s="121">
        <v>0</v>
      </c>
      <c r="CO188" s="121">
        <v>0</v>
      </c>
      <c r="CP188" s="121">
        <v>0</v>
      </c>
      <c r="CQ188" s="121">
        <v>0</v>
      </c>
      <c r="CR188" s="118"/>
      <c r="CS188" s="33">
        <v>123375.07999999996</v>
      </c>
      <c r="CT188" s="33">
        <v>0</v>
      </c>
      <c r="CU188" s="65">
        <v>123375.08</v>
      </c>
      <c r="CV188" s="65">
        <v>0</v>
      </c>
      <c r="CW188" s="65">
        <v>0</v>
      </c>
      <c r="CX188" s="33">
        <v>0</v>
      </c>
      <c r="CY188" s="33">
        <v>123375.08</v>
      </c>
      <c r="CZ188" s="66">
        <v>0</v>
      </c>
      <c r="DA188" s="33">
        <v>0</v>
      </c>
      <c r="DB188" s="33">
        <v>0</v>
      </c>
      <c r="DC188" s="33">
        <v>-3.0000000304426067E-2</v>
      </c>
      <c r="DF188" s="33">
        <v>-4.3655745685100555E-11</v>
      </c>
      <c r="DI188" s="33">
        <v>123375.07999999996</v>
      </c>
      <c r="DJ188" s="33">
        <v>0</v>
      </c>
      <c r="DK188" s="65">
        <v>123375.08</v>
      </c>
      <c r="DL188" s="65">
        <v>0</v>
      </c>
      <c r="DQ188" s="115">
        <v>3303367</v>
      </c>
      <c r="DS188" s="33">
        <v>0</v>
      </c>
      <c r="DT188" s="33">
        <v>1497598.21</v>
      </c>
      <c r="DU188" s="33">
        <v>1494762</v>
      </c>
      <c r="DV188" s="33">
        <v>2836.2099999999627</v>
      </c>
      <c r="DW188" s="33">
        <v>7141.23</v>
      </c>
      <c r="DX188" s="33">
        <v>7141.23</v>
      </c>
      <c r="DY188" s="33">
        <v>0</v>
      </c>
    </row>
    <row r="189" spans="2:129" x14ac:dyDescent="0.35">
      <c r="B189" s="87">
        <v>3372</v>
      </c>
      <c r="C189" s="115">
        <v>3303372</v>
      </c>
      <c r="D189" s="116" t="s">
        <v>495</v>
      </c>
      <c r="E189" s="116" t="s">
        <v>496</v>
      </c>
      <c r="F189" s="117"/>
      <c r="G189" s="118"/>
      <c r="H189" s="115"/>
      <c r="I189" s="115"/>
      <c r="J189" s="115"/>
      <c r="K189" s="115"/>
      <c r="L189" s="115"/>
      <c r="M189" s="115"/>
      <c r="N189" s="115"/>
      <c r="O189" s="115"/>
      <c r="P189" s="115"/>
      <c r="Q189" s="115"/>
      <c r="R189" s="115"/>
      <c r="S189" s="119"/>
      <c r="T189" s="119"/>
      <c r="U189" s="119"/>
      <c r="V189" s="119"/>
      <c r="W189" s="119"/>
      <c r="X189" s="119"/>
      <c r="Y189" s="120">
        <v>354068.24</v>
      </c>
      <c r="Z189" s="120"/>
      <c r="AA189" s="120">
        <v>0</v>
      </c>
      <c r="AB189" s="121">
        <v>3153949.5</v>
      </c>
      <c r="AC189" s="121">
        <v>0</v>
      </c>
      <c r="AD189" s="121">
        <v>140168</v>
      </c>
      <c r="AE189" s="121">
        <v>0</v>
      </c>
      <c r="AF189" s="121">
        <v>391265.5</v>
      </c>
      <c r="AG189" s="121">
        <v>856.93</v>
      </c>
      <c r="AH189" s="121">
        <v>0</v>
      </c>
      <c r="AI189" s="121">
        <v>0</v>
      </c>
      <c r="AJ189" s="121">
        <v>127195.29</v>
      </c>
      <c r="AK189" s="121">
        <v>0</v>
      </c>
      <c r="AL189" s="121">
        <v>0</v>
      </c>
      <c r="AM189" s="121">
        <v>0</v>
      </c>
      <c r="AN189" s="121">
        <v>0</v>
      </c>
      <c r="AO189" s="121">
        <v>0</v>
      </c>
      <c r="AP189" s="121">
        <v>0</v>
      </c>
      <c r="AQ189" s="121">
        <v>0</v>
      </c>
      <c r="AR189" s="121">
        <v>0</v>
      </c>
      <c r="AS189" s="121">
        <v>0</v>
      </c>
      <c r="AT189" s="121">
        <v>0</v>
      </c>
      <c r="AU189" s="121">
        <v>32616.2</v>
      </c>
      <c r="AV189" s="121">
        <v>75188</v>
      </c>
      <c r="AW189" s="121">
        <v>2016397.18</v>
      </c>
      <c r="AX189" s="121">
        <v>0</v>
      </c>
      <c r="AY189" s="121">
        <v>592308.72</v>
      </c>
      <c r="AZ189" s="121">
        <v>0</v>
      </c>
      <c r="BA189" s="121">
        <v>359762.84</v>
      </c>
      <c r="BB189" s="121">
        <v>0</v>
      </c>
      <c r="BC189" s="121">
        <v>103885.65</v>
      </c>
      <c r="BD189" s="121">
        <v>2591</v>
      </c>
      <c r="BE189" s="121">
        <v>23727.66</v>
      </c>
      <c r="BF189" s="121">
        <v>0</v>
      </c>
      <c r="BG189" s="121">
        <v>12071.64</v>
      </c>
      <c r="BH189" s="121">
        <v>18099.400000000001</v>
      </c>
      <c r="BI189" s="121">
        <v>2220.36</v>
      </c>
      <c r="BJ189" s="121">
        <v>36888.339999999997</v>
      </c>
      <c r="BK189" s="121">
        <v>6513.32</v>
      </c>
      <c r="BL189" s="121">
        <v>74377.570000000007</v>
      </c>
      <c r="BM189" s="121">
        <v>0</v>
      </c>
      <c r="BN189" s="121">
        <v>15675.62</v>
      </c>
      <c r="BO189" s="121">
        <v>228661.48000000132</v>
      </c>
      <c r="BP189" s="121">
        <v>28327.65</v>
      </c>
      <c r="BQ189" s="121">
        <v>33048.300000000003</v>
      </c>
      <c r="BR189" s="121">
        <v>74729.31</v>
      </c>
      <c r="BS189" s="121">
        <v>0</v>
      </c>
      <c r="BT189" s="121">
        <v>1096</v>
      </c>
      <c r="BU189" s="121">
        <v>176677.92</v>
      </c>
      <c r="BV189" s="121">
        <v>148805.12</v>
      </c>
      <c r="BW189" s="121">
        <v>1500</v>
      </c>
      <c r="BX189" s="121">
        <v>104358.39</v>
      </c>
      <c r="BY189" s="121">
        <v>0</v>
      </c>
      <c r="BZ189" s="121">
        <v>0</v>
      </c>
      <c r="CA189" s="121">
        <v>0</v>
      </c>
      <c r="CB189" s="121">
        <v>0</v>
      </c>
      <c r="CC189" s="121">
        <v>0</v>
      </c>
      <c r="CD189" s="121">
        <v>11996.37</v>
      </c>
      <c r="CE189" s="121">
        <v>0</v>
      </c>
      <c r="CF189" s="121">
        <v>0</v>
      </c>
      <c r="CG189" s="121">
        <v>0</v>
      </c>
      <c r="CH189" s="121">
        <v>0</v>
      </c>
      <c r="CI189" s="121">
        <v>11996.37</v>
      </c>
      <c r="CJ189" s="121">
        <v>0</v>
      </c>
      <c r="CK189" s="121">
        <v>0</v>
      </c>
      <c r="CL189" s="121">
        <v>213584.18999999971</v>
      </c>
      <c r="CM189" s="121"/>
      <c r="CN189" s="121">
        <v>0</v>
      </c>
      <c r="CO189" s="121">
        <v>0</v>
      </c>
      <c r="CP189" s="121">
        <v>0</v>
      </c>
      <c r="CQ189" s="121">
        <v>0</v>
      </c>
      <c r="CR189" s="118"/>
      <c r="CS189" s="33">
        <v>213584.18999999971</v>
      </c>
      <c r="CT189" s="33">
        <v>0</v>
      </c>
      <c r="CU189" s="65">
        <v>213584.19</v>
      </c>
      <c r="CV189" s="65">
        <v>0</v>
      </c>
      <c r="CW189" s="65">
        <v>-2.9103830456733704E-10</v>
      </c>
      <c r="CX189" s="33">
        <v>0</v>
      </c>
      <c r="CY189" s="33">
        <v>213584.19</v>
      </c>
      <c r="CZ189" s="66">
        <v>0</v>
      </c>
      <c r="DA189" s="33">
        <v>0</v>
      </c>
      <c r="DB189" s="33">
        <v>0</v>
      </c>
      <c r="DC189" s="33">
        <v>-621.25999999867054</v>
      </c>
      <c r="DF189" s="33">
        <v>-2.9103830456733704E-10</v>
      </c>
      <c r="DI189" s="33">
        <v>213584.18999999971</v>
      </c>
      <c r="DJ189" s="33">
        <v>0</v>
      </c>
      <c r="DK189" s="65">
        <v>213584.19</v>
      </c>
      <c r="DL189" s="65">
        <v>0</v>
      </c>
      <c r="DQ189" s="115">
        <v>3303372</v>
      </c>
      <c r="DS189" s="33">
        <v>0</v>
      </c>
      <c r="DT189" s="33">
        <v>3921239.4200000004</v>
      </c>
      <c r="DU189" s="33">
        <v>4061723.4700000007</v>
      </c>
      <c r="DV189" s="33">
        <v>-140484.05000000028</v>
      </c>
      <c r="DW189" s="33">
        <v>11996.37</v>
      </c>
      <c r="DX189" s="33">
        <v>11996.37</v>
      </c>
      <c r="DY189" s="33">
        <v>0</v>
      </c>
    </row>
    <row r="190" spans="2:129" x14ac:dyDescent="0.35">
      <c r="B190" s="87">
        <v>3377</v>
      </c>
      <c r="C190" s="115">
        <v>3303377</v>
      </c>
      <c r="D190" s="116" t="s">
        <v>497</v>
      </c>
      <c r="E190" s="116" t="s">
        <v>498</v>
      </c>
      <c r="F190" s="117"/>
      <c r="G190" s="118"/>
      <c r="H190" s="115"/>
      <c r="I190" s="115"/>
      <c r="J190" s="115"/>
      <c r="K190" s="115"/>
      <c r="L190" s="115"/>
      <c r="M190" s="115"/>
      <c r="N190" s="115"/>
      <c r="O190" s="115"/>
      <c r="P190" s="115"/>
      <c r="Q190" s="115"/>
      <c r="R190" s="115"/>
      <c r="S190" s="119"/>
      <c r="T190" s="119"/>
      <c r="U190" s="119"/>
      <c r="V190" s="119"/>
      <c r="W190" s="119"/>
      <c r="X190" s="119"/>
      <c r="Y190" s="120">
        <v>206997.75</v>
      </c>
      <c r="Z190" s="120"/>
      <c r="AA190" s="120">
        <v>0</v>
      </c>
      <c r="AB190" s="121">
        <v>1217521.6100000001</v>
      </c>
      <c r="AC190" s="121">
        <v>0</v>
      </c>
      <c r="AD190" s="121">
        <v>35236.25</v>
      </c>
      <c r="AE190" s="121">
        <v>0</v>
      </c>
      <c r="AF190" s="121">
        <v>200031</v>
      </c>
      <c r="AG190" s="121">
        <v>0</v>
      </c>
      <c r="AH190" s="121">
        <v>0</v>
      </c>
      <c r="AI190" s="121">
        <v>0</v>
      </c>
      <c r="AJ190" s="121">
        <v>25486.67</v>
      </c>
      <c r="AK190" s="121">
        <v>0</v>
      </c>
      <c r="AL190" s="121">
        <v>0</v>
      </c>
      <c r="AM190" s="121">
        <v>0</v>
      </c>
      <c r="AN190" s="121">
        <v>5218</v>
      </c>
      <c r="AO190" s="121">
        <v>0</v>
      </c>
      <c r="AP190" s="121">
        <v>0</v>
      </c>
      <c r="AQ190" s="121">
        <v>0</v>
      </c>
      <c r="AR190" s="121">
        <v>0</v>
      </c>
      <c r="AS190" s="121">
        <v>0</v>
      </c>
      <c r="AT190" s="121">
        <v>0</v>
      </c>
      <c r="AU190" s="121">
        <v>31330.46</v>
      </c>
      <c r="AV190" s="121">
        <v>31684</v>
      </c>
      <c r="AW190" s="121">
        <v>657239.30000000005</v>
      </c>
      <c r="AX190" s="121">
        <v>0</v>
      </c>
      <c r="AY190" s="121">
        <v>201870.39</v>
      </c>
      <c r="AZ190" s="121">
        <v>55353.04</v>
      </c>
      <c r="BA190" s="121">
        <v>100866.08</v>
      </c>
      <c r="BB190" s="121">
        <v>0</v>
      </c>
      <c r="BC190" s="121">
        <v>39959.46</v>
      </c>
      <c r="BD190" s="121">
        <v>2906</v>
      </c>
      <c r="BE190" s="121">
        <v>2218</v>
      </c>
      <c r="BF190" s="121">
        <v>0</v>
      </c>
      <c r="BG190" s="121">
        <v>3755.15</v>
      </c>
      <c r="BH190" s="121">
        <v>17800.740000000002</v>
      </c>
      <c r="BI190" s="121">
        <v>1659.75</v>
      </c>
      <c r="BJ190" s="121">
        <v>358.8</v>
      </c>
      <c r="BK190" s="121">
        <v>1361.66</v>
      </c>
      <c r="BL190" s="121">
        <v>28049.63</v>
      </c>
      <c r="BM190" s="121">
        <v>3679.1</v>
      </c>
      <c r="BN190" s="121">
        <v>3783.96</v>
      </c>
      <c r="BO190" s="121">
        <v>26208.990000000013</v>
      </c>
      <c r="BP190" s="121">
        <v>3203.6</v>
      </c>
      <c r="BQ190" s="121">
        <v>0</v>
      </c>
      <c r="BR190" s="121">
        <v>106499.22</v>
      </c>
      <c r="BS190" s="121">
        <v>4895</v>
      </c>
      <c r="BT190" s="121">
        <v>4164.8</v>
      </c>
      <c r="BU190" s="121">
        <v>109240.28</v>
      </c>
      <c r="BV190" s="121">
        <v>29726.7</v>
      </c>
      <c r="BW190" s="121">
        <v>2205</v>
      </c>
      <c r="BX190" s="121">
        <v>88462.02</v>
      </c>
      <c r="BY190" s="121">
        <v>0</v>
      </c>
      <c r="BZ190" s="121">
        <v>0</v>
      </c>
      <c r="CA190" s="121">
        <v>0</v>
      </c>
      <c r="CB190" s="121">
        <v>0</v>
      </c>
      <c r="CC190" s="121">
        <v>0</v>
      </c>
      <c r="CD190" s="121">
        <v>6674.67</v>
      </c>
      <c r="CE190" s="121">
        <v>0</v>
      </c>
      <c r="CF190" s="121">
        <v>0</v>
      </c>
      <c r="CG190" s="121">
        <v>0</v>
      </c>
      <c r="CH190" s="121">
        <v>0</v>
      </c>
      <c r="CI190" s="121">
        <v>6674.67</v>
      </c>
      <c r="CJ190" s="121">
        <v>0</v>
      </c>
      <c r="CK190" s="121">
        <v>0</v>
      </c>
      <c r="CL190" s="121">
        <v>258039.07000000007</v>
      </c>
      <c r="CM190" s="121"/>
      <c r="CN190" s="121">
        <v>0</v>
      </c>
      <c r="CO190" s="121">
        <v>0</v>
      </c>
      <c r="CP190" s="121">
        <v>0</v>
      </c>
      <c r="CQ190" s="121">
        <v>0</v>
      </c>
      <c r="CR190" s="118"/>
      <c r="CS190" s="33">
        <v>258039.07000000007</v>
      </c>
      <c r="CT190" s="33">
        <v>0</v>
      </c>
      <c r="CU190" s="65">
        <v>258039.07</v>
      </c>
      <c r="CV190" s="65">
        <v>0</v>
      </c>
      <c r="CW190" s="65">
        <v>0</v>
      </c>
      <c r="CX190" s="33">
        <v>0</v>
      </c>
      <c r="CY190" s="33">
        <v>258039.07</v>
      </c>
      <c r="CZ190" s="66">
        <v>0</v>
      </c>
      <c r="DA190" s="33">
        <v>0</v>
      </c>
      <c r="DB190" s="33">
        <v>0</v>
      </c>
      <c r="DC190" s="33">
        <v>-4.9999999988358468E-2</v>
      </c>
      <c r="DF190" s="33">
        <v>5.8207660913467407E-11</v>
      </c>
      <c r="DI190" s="33">
        <v>258039.07000000007</v>
      </c>
      <c r="DJ190" s="33">
        <v>0</v>
      </c>
      <c r="DK190" s="65">
        <v>258039.07</v>
      </c>
      <c r="DL190" s="65">
        <v>0</v>
      </c>
      <c r="DQ190" s="115">
        <v>3303377</v>
      </c>
      <c r="DS190" s="33">
        <v>0</v>
      </c>
      <c r="DT190" s="33">
        <v>1546507.99</v>
      </c>
      <c r="DU190" s="33">
        <v>1495466.67</v>
      </c>
      <c r="DV190" s="33">
        <v>51041.320000000065</v>
      </c>
      <c r="DW190" s="33">
        <v>6674.67</v>
      </c>
      <c r="DX190" s="33">
        <v>6674.67</v>
      </c>
      <c r="DY190" s="33">
        <v>0</v>
      </c>
    </row>
    <row r="191" spans="2:129" x14ac:dyDescent="0.35">
      <c r="B191" s="87">
        <v>3380</v>
      </c>
      <c r="C191" s="115">
        <v>3303380</v>
      </c>
      <c r="D191" s="116" t="s">
        <v>499</v>
      </c>
      <c r="E191" s="116" t="s">
        <v>500</v>
      </c>
      <c r="F191" s="117"/>
      <c r="G191" s="118"/>
      <c r="H191" s="115"/>
      <c r="I191" s="115"/>
      <c r="J191" s="115"/>
      <c r="K191" s="115"/>
      <c r="L191" s="115"/>
      <c r="M191" s="115"/>
      <c r="N191" s="115"/>
      <c r="O191" s="115"/>
      <c r="P191" s="115"/>
      <c r="Q191" s="115"/>
      <c r="R191" s="115"/>
      <c r="S191" s="119"/>
      <c r="T191" s="119"/>
      <c r="U191" s="119"/>
      <c r="V191" s="119"/>
      <c r="W191" s="119"/>
      <c r="X191" s="119"/>
      <c r="Y191" s="120">
        <v>65146.93</v>
      </c>
      <c r="Z191" s="120"/>
      <c r="AA191" s="120">
        <v>0</v>
      </c>
      <c r="AB191" s="121">
        <v>1000958.01</v>
      </c>
      <c r="AC191" s="121">
        <v>0</v>
      </c>
      <c r="AD191" s="121">
        <v>41184.300000000003</v>
      </c>
      <c r="AE191" s="121">
        <v>0</v>
      </c>
      <c r="AF191" s="121">
        <v>48711</v>
      </c>
      <c r="AG191" s="121">
        <v>12513.86</v>
      </c>
      <c r="AH191" s="121">
        <v>0</v>
      </c>
      <c r="AI191" s="121">
        <v>0</v>
      </c>
      <c r="AJ191" s="121">
        <v>32030.35</v>
      </c>
      <c r="AK191" s="121">
        <v>0</v>
      </c>
      <c r="AL191" s="121">
        <v>0</v>
      </c>
      <c r="AM191" s="121">
        <v>0</v>
      </c>
      <c r="AN191" s="121">
        <v>17341.580000000002</v>
      </c>
      <c r="AO191" s="121">
        <v>0</v>
      </c>
      <c r="AP191" s="121">
        <v>0</v>
      </c>
      <c r="AQ191" s="121">
        <v>0</v>
      </c>
      <c r="AR191" s="121">
        <v>0</v>
      </c>
      <c r="AS191" s="121">
        <v>0</v>
      </c>
      <c r="AT191" s="121">
        <v>0</v>
      </c>
      <c r="AU191" s="121">
        <v>2970.5</v>
      </c>
      <c r="AV191" s="121">
        <v>51916</v>
      </c>
      <c r="AW191" s="121">
        <v>546195.43999999994</v>
      </c>
      <c r="AX191" s="121">
        <v>0</v>
      </c>
      <c r="AY191" s="121">
        <v>234301.26</v>
      </c>
      <c r="AZ191" s="121">
        <v>53638.55</v>
      </c>
      <c r="BA191" s="121">
        <v>87313.84</v>
      </c>
      <c r="BB191" s="121">
        <v>0</v>
      </c>
      <c r="BC191" s="121">
        <v>49042.19</v>
      </c>
      <c r="BD191" s="121">
        <v>65.349999999999994</v>
      </c>
      <c r="BE191" s="121">
        <v>1000</v>
      </c>
      <c r="BF191" s="121">
        <v>0</v>
      </c>
      <c r="BG191" s="121">
        <v>0</v>
      </c>
      <c r="BH191" s="121">
        <v>4901.4799999999996</v>
      </c>
      <c r="BI191" s="121">
        <v>2412.5</v>
      </c>
      <c r="BJ191" s="121">
        <v>833</v>
      </c>
      <c r="BK191" s="121">
        <v>1825.22</v>
      </c>
      <c r="BL191" s="121">
        <v>35326.76</v>
      </c>
      <c r="BM191" s="121">
        <v>0</v>
      </c>
      <c r="BN191" s="121">
        <v>4480.2700000000004</v>
      </c>
      <c r="BO191" s="121">
        <v>47009.979999999974</v>
      </c>
      <c r="BP191" s="121">
        <v>11420.53</v>
      </c>
      <c r="BQ191" s="121">
        <v>36.06</v>
      </c>
      <c r="BR191" s="121">
        <v>11786.83</v>
      </c>
      <c r="BS191" s="121">
        <v>3446.83</v>
      </c>
      <c r="BT191" s="121">
        <v>450</v>
      </c>
      <c r="BU191" s="121">
        <v>103685.04</v>
      </c>
      <c r="BV191" s="121">
        <v>3533.1</v>
      </c>
      <c r="BW191" s="121">
        <v>0</v>
      </c>
      <c r="BX191" s="121">
        <v>37370.65</v>
      </c>
      <c r="BY191" s="121">
        <v>0</v>
      </c>
      <c r="BZ191" s="121">
        <v>0</v>
      </c>
      <c r="CA191" s="121">
        <v>0</v>
      </c>
      <c r="CB191" s="121">
        <v>0</v>
      </c>
      <c r="CC191" s="121">
        <v>0</v>
      </c>
      <c r="CD191" s="121">
        <v>6810.75</v>
      </c>
      <c r="CE191" s="121">
        <v>0</v>
      </c>
      <c r="CF191" s="121">
        <v>0</v>
      </c>
      <c r="CG191" s="121">
        <v>0</v>
      </c>
      <c r="CH191" s="121">
        <v>0</v>
      </c>
      <c r="CI191" s="121">
        <v>6810.75</v>
      </c>
      <c r="CJ191" s="121">
        <v>0</v>
      </c>
      <c r="CK191" s="121">
        <v>0</v>
      </c>
      <c r="CL191" s="121">
        <v>32697.650000000205</v>
      </c>
      <c r="CM191" s="121"/>
      <c r="CN191" s="121">
        <v>0</v>
      </c>
      <c r="CO191" s="121">
        <v>0</v>
      </c>
      <c r="CP191" s="121">
        <v>0</v>
      </c>
      <c r="CQ191" s="121">
        <v>0</v>
      </c>
      <c r="CR191" s="118"/>
      <c r="CS191" s="33">
        <v>32697.650000000205</v>
      </c>
      <c r="CT191" s="33">
        <v>0</v>
      </c>
      <c r="CU191" s="65">
        <v>32697.65</v>
      </c>
      <c r="CV191" s="65">
        <v>0</v>
      </c>
      <c r="CW191" s="65">
        <v>2.0372681319713593E-10</v>
      </c>
      <c r="CX191" s="33">
        <v>0</v>
      </c>
      <c r="CY191" s="33">
        <v>32697.65</v>
      </c>
      <c r="CZ191" s="66">
        <v>0</v>
      </c>
      <c r="DA191" s="33">
        <v>0</v>
      </c>
      <c r="DB191" s="33">
        <v>0</v>
      </c>
      <c r="DC191" s="33">
        <v>-2.9103830456733704E-11</v>
      </c>
      <c r="DF191" s="33">
        <v>2.0372681319713593E-10</v>
      </c>
      <c r="DI191" s="33">
        <v>32697.650000000205</v>
      </c>
      <c r="DJ191" s="33">
        <v>0</v>
      </c>
      <c r="DK191" s="65">
        <v>32697.65</v>
      </c>
      <c r="DL191" s="65">
        <v>0</v>
      </c>
      <c r="DQ191" s="115">
        <v>3303380</v>
      </c>
      <c r="DS191" s="33">
        <v>0</v>
      </c>
      <c r="DT191" s="33">
        <v>1207625.6000000003</v>
      </c>
      <c r="DU191" s="33">
        <v>1240074.8800000001</v>
      </c>
      <c r="DV191" s="33">
        <v>-32449.279999999795</v>
      </c>
      <c r="DW191" s="33">
        <v>6810.75</v>
      </c>
      <c r="DX191" s="33">
        <v>6810.75</v>
      </c>
      <c r="DY191" s="33">
        <v>0</v>
      </c>
    </row>
    <row r="192" spans="2:129" x14ac:dyDescent="0.35">
      <c r="B192" s="87">
        <v>3381</v>
      </c>
      <c r="C192" s="115">
        <v>3303381</v>
      </c>
      <c r="D192" s="116" t="s">
        <v>501</v>
      </c>
      <c r="E192" s="116" t="s">
        <v>502</v>
      </c>
      <c r="F192" s="117"/>
      <c r="G192" s="118"/>
      <c r="H192" s="115"/>
      <c r="I192" s="115"/>
      <c r="J192" s="115"/>
      <c r="K192" s="115"/>
      <c r="L192" s="115"/>
      <c r="M192" s="115"/>
      <c r="N192" s="115"/>
      <c r="O192" s="115"/>
      <c r="P192" s="115"/>
      <c r="Q192" s="115"/>
      <c r="R192" s="115"/>
      <c r="S192" s="119"/>
      <c r="T192" s="119"/>
      <c r="U192" s="119"/>
      <c r="V192" s="119"/>
      <c r="W192" s="119"/>
      <c r="X192" s="119"/>
      <c r="Y192" s="120"/>
      <c r="Z192" s="120">
        <v>-57531.12</v>
      </c>
      <c r="AA192" s="120">
        <v>0</v>
      </c>
      <c r="AB192" s="121">
        <v>1089481.1499999999</v>
      </c>
      <c r="AC192" s="121">
        <v>0</v>
      </c>
      <c r="AD192" s="121">
        <v>37020.9</v>
      </c>
      <c r="AE192" s="121">
        <v>0</v>
      </c>
      <c r="AF192" s="121">
        <v>102880</v>
      </c>
      <c r="AG192" s="121">
        <v>200</v>
      </c>
      <c r="AH192" s="121">
        <v>0</v>
      </c>
      <c r="AI192" s="121">
        <v>0</v>
      </c>
      <c r="AJ192" s="121">
        <v>58373.27</v>
      </c>
      <c r="AK192" s="121">
        <v>0</v>
      </c>
      <c r="AL192" s="121">
        <v>0</v>
      </c>
      <c r="AM192" s="121">
        <v>0</v>
      </c>
      <c r="AN192" s="121">
        <v>0</v>
      </c>
      <c r="AO192" s="121">
        <v>0</v>
      </c>
      <c r="AP192" s="121">
        <v>0</v>
      </c>
      <c r="AQ192" s="121">
        <v>0</v>
      </c>
      <c r="AR192" s="121">
        <v>0</v>
      </c>
      <c r="AS192" s="121">
        <v>0</v>
      </c>
      <c r="AT192" s="121">
        <v>0</v>
      </c>
      <c r="AU192" s="121">
        <v>16023.76</v>
      </c>
      <c r="AV192" s="121">
        <v>46278</v>
      </c>
      <c r="AW192" s="121">
        <v>587223.61</v>
      </c>
      <c r="AX192" s="121">
        <v>0</v>
      </c>
      <c r="AY192" s="121">
        <v>200937.45</v>
      </c>
      <c r="AZ192" s="121">
        <v>293.8</v>
      </c>
      <c r="BA192" s="121">
        <v>376963.21</v>
      </c>
      <c r="BB192" s="121">
        <v>0</v>
      </c>
      <c r="BC192" s="121">
        <v>20087.78</v>
      </c>
      <c r="BD192" s="121">
        <v>0</v>
      </c>
      <c r="BE192" s="121">
        <v>0</v>
      </c>
      <c r="BF192" s="121">
        <v>0</v>
      </c>
      <c r="BG192" s="121">
        <v>0</v>
      </c>
      <c r="BH192" s="121">
        <v>0</v>
      </c>
      <c r="BI192" s="121">
        <v>0</v>
      </c>
      <c r="BJ192" s="121">
        <v>0</v>
      </c>
      <c r="BK192" s="121">
        <v>0</v>
      </c>
      <c r="BL192" s="121">
        <v>1204.4000000000001</v>
      </c>
      <c r="BM192" s="121">
        <v>0</v>
      </c>
      <c r="BN192" s="121">
        <v>1076.6600000000001</v>
      </c>
      <c r="BO192" s="121">
        <v>8509.9699999998847</v>
      </c>
      <c r="BP192" s="121">
        <v>0</v>
      </c>
      <c r="BQ192" s="121">
        <v>0</v>
      </c>
      <c r="BR192" s="121">
        <v>1653.81</v>
      </c>
      <c r="BS192" s="121">
        <v>4895</v>
      </c>
      <c r="BT192" s="121">
        <v>0</v>
      </c>
      <c r="BU192" s="121">
        <v>68516.320000000007</v>
      </c>
      <c r="BV192" s="121">
        <v>199.97</v>
      </c>
      <c r="BW192" s="121">
        <v>0</v>
      </c>
      <c r="BX192" s="121">
        <v>8037.2</v>
      </c>
      <c r="BY192" s="121">
        <v>0</v>
      </c>
      <c r="BZ192" s="121">
        <v>0</v>
      </c>
      <c r="CA192" s="121">
        <v>0</v>
      </c>
      <c r="CB192" s="121">
        <v>0</v>
      </c>
      <c r="CC192" s="121">
        <v>0</v>
      </c>
      <c r="CD192" s="121">
        <v>6847.2</v>
      </c>
      <c r="CE192" s="121">
        <v>0</v>
      </c>
      <c r="CF192" s="121">
        <v>0</v>
      </c>
      <c r="CG192" s="121">
        <v>0</v>
      </c>
      <c r="CH192" s="121">
        <v>0</v>
      </c>
      <c r="CI192" s="121">
        <v>6847.2</v>
      </c>
      <c r="CJ192" s="121">
        <v>0</v>
      </c>
      <c r="CK192" s="121">
        <v>0</v>
      </c>
      <c r="CL192" s="121">
        <v>13126.779999999904</v>
      </c>
      <c r="CM192" s="121"/>
      <c r="CN192" s="121">
        <v>0</v>
      </c>
      <c r="CO192" s="121">
        <v>0</v>
      </c>
      <c r="CP192" s="121">
        <v>0</v>
      </c>
      <c r="CQ192" s="121">
        <v>0</v>
      </c>
      <c r="CR192" s="118"/>
      <c r="CS192" s="33">
        <v>13126.779999999904</v>
      </c>
      <c r="CT192" s="33">
        <v>0</v>
      </c>
      <c r="CU192" s="65">
        <v>13126.78</v>
      </c>
      <c r="CV192" s="65">
        <v>0</v>
      </c>
      <c r="CW192" s="65">
        <v>-9.6406438387930393E-11</v>
      </c>
      <c r="CX192" s="33">
        <v>0</v>
      </c>
      <c r="CY192" s="33">
        <v>13126.78</v>
      </c>
      <c r="CZ192" s="66">
        <v>0</v>
      </c>
      <c r="DA192" s="33">
        <v>0</v>
      </c>
      <c r="DB192" s="33">
        <v>0</v>
      </c>
      <c r="DC192" s="33">
        <v>-2.000000011503289E-2</v>
      </c>
      <c r="DF192" s="33">
        <v>-9.6406438387930393E-11</v>
      </c>
      <c r="DI192" s="33">
        <v>13126.779999999904</v>
      </c>
      <c r="DJ192" s="33">
        <v>0</v>
      </c>
      <c r="DK192" s="65">
        <v>13126.78</v>
      </c>
      <c r="DL192" s="65">
        <v>0</v>
      </c>
      <c r="DQ192" s="115">
        <v>3303381</v>
      </c>
      <c r="DS192" s="33">
        <v>0</v>
      </c>
      <c r="DT192" s="33">
        <v>1350257.0799999998</v>
      </c>
      <c r="DU192" s="33">
        <v>1279599.18</v>
      </c>
      <c r="DV192" s="33">
        <v>70657.899999999907</v>
      </c>
      <c r="DW192" s="33">
        <v>6847.2</v>
      </c>
      <c r="DX192" s="33">
        <v>6847.2</v>
      </c>
      <c r="DY192" s="33">
        <v>0</v>
      </c>
    </row>
    <row r="193" spans="2:129" x14ac:dyDescent="0.35">
      <c r="B193" s="87">
        <v>3382</v>
      </c>
      <c r="C193" s="115">
        <v>3303382</v>
      </c>
      <c r="D193" s="116" t="s">
        <v>503</v>
      </c>
      <c r="E193" s="116" t="s">
        <v>504</v>
      </c>
      <c r="F193" s="117"/>
      <c r="G193" s="118"/>
      <c r="H193" s="115"/>
      <c r="I193" s="115"/>
      <c r="J193" s="115"/>
      <c r="K193" s="115"/>
      <c r="L193" s="115"/>
      <c r="M193" s="115"/>
      <c r="N193" s="115"/>
      <c r="O193" s="115"/>
      <c r="P193" s="115"/>
      <c r="Q193" s="115"/>
      <c r="R193" s="115"/>
      <c r="S193" s="119"/>
      <c r="T193" s="119"/>
      <c r="U193" s="119"/>
      <c r="V193" s="119"/>
      <c r="W193" s="119"/>
      <c r="X193" s="119"/>
      <c r="Y193" s="120">
        <v>91365.41</v>
      </c>
      <c r="Z193" s="120"/>
      <c r="AA193" s="120">
        <v>0</v>
      </c>
      <c r="AB193" s="121">
        <v>1104733.53</v>
      </c>
      <c r="AC193" s="121">
        <v>0</v>
      </c>
      <c r="AD193" s="121">
        <v>40006.239999999998</v>
      </c>
      <c r="AE193" s="121">
        <v>0</v>
      </c>
      <c r="AF193" s="121">
        <v>100331</v>
      </c>
      <c r="AG193" s="121">
        <v>2600</v>
      </c>
      <c r="AH193" s="121">
        <v>0</v>
      </c>
      <c r="AI193" s="121">
        <v>0</v>
      </c>
      <c r="AJ193" s="121">
        <v>16949.919999999998</v>
      </c>
      <c r="AK193" s="121">
        <v>0</v>
      </c>
      <c r="AL193" s="121">
        <v>0</v>
      </c>
      <c r="AM193" s="121">
        <v>0</v>
      </c>
      <c r="AN193" s="121">
        <v>19938.48</v>
      </c>
      <c r="AO193" s="121">
        <v>350</v>
      </c>
      <c r="AP193" s="121">
        <v>0</v>
      </c>
      <c r="AQ193" s="121">
        <v>0</v>
      </c>
      <c r="AR193" s="121">
        <v>0</v>
      </c>
      <c r="AS193" s="121">
        <v>0</v>
      </c>
      <c r="AT193" s="121">
        <v>0</v>
      </c>
      <c r="AU193" s="121">
        <v>6097.12</v>
      </c>
      <c r="AV193" s="121">
        <v>50710</v>
      </c>
      <c r="AW193" s="121">
        <v>605004.97</v>
      </c>
      <c r="AX193" s="121">
        <v>0</v>
      </c>
      <c r="AY193" s="121">
        <v>237890.16</v>
      </c>
      <c r="AZ193" s="121">
        <v>59720.05</v>
      </c>
      <c r="BA193" s="121">
        <v>108688.07</v>
      </c>
      <c r="BB193" s="121">
        <v>0</v>
      </c>
      <c r="BC193" s="121">
        <v>18807.7</v>
      </c>
      <c r="BD193" s="121">
        <v>375</v>
      </c>
      <c r="BE193" s="121">
        <v>200</v>
      </c>
      <c r="BF193" s="121">
        <v>0</v>
      </c>
      <c r="BG193" s="121">
        <v>0</v>
      </c>
      <c r="BH193" s="121">
        <v>29750.84</v>
      </c>
      <c r="BI193" s="121">
        <v>2417.9499999999998</v>
      </c>
      <c r="BJ193" s="121">
        <v>701.35</v>
      </c>
      <c r="BK193" s="121">
        <v>9268.11</v>
      </c>
      <c r="BL193" s="121">
        <v>37860.11</v>
      </c>
      <c r="BM193" s="121">
        <v>0</v>
      </c>
      <c r="BN193" s="121">
        <v>2780.6</v>
      </c>
      <c r="BO193" s="121">
        <v>28079.329999999187</v>
      </c>
      <c r="BP193" s="121">
        <v>2193.08</v>
      </c>
      <c r="BQ193" s="121">
        <v>3000</v>
      </c>
      <c r="BR193" s="121">
        <v>27908.33</v>
      </c>
      <c r="BS193" s="121">
        <v>4895</v>
      </c>
      <c r="BT193" s="121">
        <v>2900</v>
      </c>
      <c r="BU193" s="121">
        <v>93023.56</v>
      </c>
      <c r="BV193" s="121">
        <v>11677.84</v>
      </c>
      <c r="BW193" s="121">
        <v>0</v>
      </c>
      <c r="BX193" s="121">
        <v>55451.12</v>
      </c>
      <c r="BY193" s="121">
        <v>0</v>
      </c>
      <c r="BZ193" s="121">
        <v>0</v>
      </c>
      <c r="CA193" s="121">
        <v>0</v>
      </c>
      <c r="CB193" s="121">
        <v>0</v>
      </c>
      <c r="CC193" s="121">
        <v>0</v>
      </c>
      <c r="CD193" s="121">
        <v>6835.05</v>
      </c>
      <c r="CE193" s="121">
        <v>0</v>
      </c>
      <c r="CF193" s="121">
        <v>0</v>
      </c>
      <c r="CG193" s="121">
        <v>0</v>
      </c>
      <c r="CH193" s="121">
        <v>0</v>
      </c>
      <c r="CI193" s="121">
        <v>6835.05</v>
      </c>
      <c r="CJ193" s="121">
        <v>0</v>
      </c>
      <c r="CK193" s="121">
        <v>0</v>
      </c>
      <c r="CL193" s="121">
        <v>90488.530000000115</v>
      </c>
      <c r="CM193" s="121"/>
      <c r="CN193" s="121">
        <v>0</v>
      </c>
      <c r="CO193" s="121">
        <v>0</v>
      </c>
      <c r="CP193" s="121">
        <v>0</v>
      </c>
      <c r="CQ193" s="121">
        <v>0</v>
      </c>
      <c r="CR193" s="118"/>
      <c r="CS193" s="33">
        <v>90488.530000000115</v>
      </c>
      <c r="CT193" s="33">
        <v>0</v>
      </c>
      <c r="CU193" s="65">
        <v>90488.53</v>
      </c>
      <c r="CV193" s="65">
        <v>0</v>
      </c>
      <c r="CW193" s="65">
        <v>1.1641532182693481E-10</v>
      </c>
      <c r="CX193" s="33">
        <v>0</v>
      </c>
      <c r="CY193" s="33">
        <v>90488.53</v>
      </c>
      <c r="CZ193" s="66">
        <v>0</v>
      </c>
      <c r="DA193" s="33">
        <v>0</v>
      </c>
      <c r="DB193" s="33">
        <v>0</v>
      </c>
      <c r="DC193" s="33">
        <v>-8.149072527885437E-10</v>
      </c>
      <c r="DF193" s="33">
        <v>1.1641532182693481E-10</v>
      </c>
      <c r="DI193" s="33">
        <v>90488.530000000115</v>
      </c>
      <c r="DJ193" s="33">
        <v>0</v>
      </c>
      <c r="DK193" s="65">
        <v>90488.53</v>
      </c>
      <c r="DL193" s="65">
        <v>0</v>
      </c>
      <c r="DQ193" s="115">
        <v>3303382</v>
      </c>
      <c r="DS193" s="33">
        <v>0</v>
      </c>
      <c r="DT193" s="33">
        <v>1341716.29</v>
      </c>
      <c r="DU193" s="33">
        <v>1342593.17</v>
      </c>
      <c r="DV193" s="33">
        <v>-876.87999999988824</v>
      </c>
      <c r="DW193" s="33">
        <v>6835.05</v>
      </c>
      <c r="DX193" s="33">
        <v>6835.05</v>
      </c>
      <c r="DY193" s="33">
        <v>0</v>
      </c>
    </row>
    <row r="194" spans="2:129" x14ac:dyDescent="0.35">
      <c r="B194" s="87">
        <v>3385</v>
      </c>
      <c r="C194" s="115">
        <v>3303385</v>
      </c>
      <c r="D194" s="116" t="s">
        <v>505</v>
      </c>
      <c r="E194" s="116" t="s">
        <v>506</v>
      </c>
      <c r="F194" s="117"/>
      <c r="G194" s="118"/>
      <c r="H194" s="115"/>
      <c r="I194" s="115"/>
      <c r="J194" s="115"/>
      <c r="K194" s="115"/>
      <c r="L194" s="115"/>
      <c r="M194" s="115"/>
      <c r="N194" s="115"/>
      <c r="O194" s="115"/>
      <c r="P194" s="115"/>
      <c r="Q194" s="115"/>
      <c r="R194" s="115"/>
      <c r="S194" s="119"/>
      <c r="T194" s="119"/>
      <c r="U194" s="119"/>
      <c r="V194" s="119"/>
      <c r="W194" s="119"/>
      <c r="X194" s="119"/>
      <c r="Y194" s="120">
        <v>157295.07999999999</v>
      </c>
      <c r="Z194" s="120"/>
      <c r="AA194" s="120">
        <v>0</v>
      </c>
      <c r="AB194" s="121">
        <v>1152108.95</v>
      </c>
      <c r="AC194" s="121">
        <v>0</v>
      </c>
      <c r="AD194" s="121">
        <v>20755.5</v>
      </c>
      <c r="AE194" s="121">
        <v>0</v>
      </c>
      <c r="AF194" s="121">
        <v>135965</v>
      </c>
      <c r="AG194" s="121">
        <v>6980</v>
      </c>
      <c r="AH194" s="121">
        <v>0</v>
      </c>
      <c r="AI194" s="121">
        <v>0</v>
      </c>
      <c r="AJ194" s="121">
        <v>69793.929999999993</v>
      </c>
      <c r="AK194" s="121">
        <v>0</v>
      </c>
      <c r="AL194" s="121">
        <v>0</v>
      </c>
      <c r="AM194" s="121">
        <v>0</v>
      </c>
      <c r="AN194" s="121">
        <v>15627.92</v>
      </c>
      <c r="AO194" s="121">
        <v>0</v>
      </c>
      <c r="AP194" s="121">
        <v>0</v>
      </c>
      <c r="AQ194" s="121">
        <v>0</v>
      </c>
      <c r="AR194" s="121">
        <v>0</v>
      </c>
      <c r="AS194" s="121">
        <v>0</v>
      </c>
      <c r="AT194" s="121">
        <v>0</v>
      </c>
      <c r="AU194" s="121">
        <v>21775.63</v>
      </c>
      <c r="AV194" s="121">
        <v>43101</v>
      </c>
      <c r="AW194" s="121">
        <v>602160.28</v>
      </c>
      <c r="AX194" s="121">
        <v>0</v>
      </c>
      <c r="AY194" s="121">
        <v>238371.51</v>
      </c>
      <c r="AZ194" s="121">
        <v>20539.84</v>
      </c>
      <c r="BA194" s="121">
        <v>118237.82</v>
      </c>
      <c r="BB194" s="121">
        <v>0</v>
      </c>
      <c r="BC194" s="121">
        <v>30195.31</v>
      </c>
      <c r="BD194" s="121">
        <v>25.34</v>
      </c>
      <c r="BE194" s="121">
        <v>9281</v>
      </c>
      <c r="BF194" s="121">
        <v>0</v>
      </c>
      <c r="BG194" s="121">
        <v>0</v>
      </c>
      <c r="BH194" s="121">
        <v>9411.23</v>
      </c>
      <c r="BI194" s="121">
        <v>3136.48</v>
      </c>
      <c r="BJ194" s="121">
        <v>1977.84</v>
      </c>
      <c r="BK194" s="121">
        <v>3340.16</v>
      </c>
      <c r="BL194" s="121">
        <v>47297.59</v>
      </c>
      <c r="BM194" s="121">
        <v>1693.98</v>
      </c>
      <c r="BN194" s="121">
        <v>4994.3100000000004</v>
      </c>
      <c r="BO194" s="121">
        <v>63235.979999999865</v>
      </c>
      <c r="BP194" s="121">
        <v>0</v>
      </c>
      <c r="BQ194" s="121">
        <v>0</v>
      </c>
      <c r="BR194" s="121">
        <v>10379.5</v>
      </c>
      <c r="BS194" s="121">
        <v>0</v>
      </c>
      <c r="BT194" s="121">
        <v>0</v>
      </c>
      <c r="BU194" s="121">
        <v>105031.91</v>
      </c>
      <c r="BV194" s="121">
        <v>23982.48</v>
      </c>
      <c r="BW194" s="121">
        <v>750</v>
      </c>
      <c r="BX194" s="121">
        <v>154201.74</v>
      </c>
      <c r="BY194" s="121">
        <v>0</v>
      </c>
      <c r="BZ194" s="121">
        <v>0</v>
      </c>
      <c r="CA194" s="121">
        <v>0</v>
      </c>
      <c r="CB194" s="121">
        <v>0</v>
      </c>
      <c r="CC194" s="121">
        <v>0</v>
      </c>
      <c r="CD194" s="121">
        <v>6871.5</v>
      </c>
      <c r="CE194" s="121">
        <v>0</v>
      </c>
      <c r="CF194" s="121">
        <v>0</v>
      </c>
      <c r="CG194" s="121">
        <v>0</v>
      </c>
      <c r="CH194" s="121">
        <v>0</v>
      </c>
      <c r="CI194" s="121">
        <v>6871.5</v>
      </c>
      <c r="CJ194" s="121">
        <v>0</v>
      </c>
      <c r="CK194" s="121">
        <v>0</v>
      </c>
      <c r="CL194" s="121">
        <v>175158.70999999988</v>
      </c>
      <c r="CM194" s="121"/>
      <c r="CN194" s="121">
        <v>0</v>
      </c>
      <c r="CO194" s="121">
        <v>0</v>
      </c>
      <c r="CP194" s="121">
        <v>0</v>
      </c>
      <c r="CQ194" s="121">
        <v>0</v>
      </c>
      <c r="CR194" s="118"/>
      <c r="CS194" s="33">
        <v>175158.70999999988</v>
      </c>
      <c r="CT194" s="33">
        <v>0</v>
      </c>
      <c r="CU194" s="65">
        <v>175158.71</v>
      </c>
      <c r="CV194" s="65">
        <v>0</v>
      </c>
      <c r="CW194" s="65">
        <v>0</v>
      </c>
      <c r="CX194" s="33">
        <v>0</v>
      </c>
      <c r="CY194" s="33">
        <v>175158.71</v>
      </c>
      <c r="CZ194" s="66">
        <v>0</v>
      </c>
      <c r="DA194" s="33">
        <v>0</v>
      </c>
      <c r="DB194" s="33">
        <v>0</v>
      </c>
      <c r="DC194" s="33">
        <v>-2.0000000135041773E-2</v>
      </c>
      <c r="DF194" s="33">
        <v>-1.1641532182693481E-10</v>
      </c>
      <c r="DI194" s="33">
        <v>175158.70999999988</v>
      </c>
      <c r="DJ194" s="33">
        <v>0</v>
      </c>
      <c r="DK194" s="65">
        <v>175158.71</v>
      </c>
      <c r="DL194" s="65">
        <v>0</v>
      </c>
      <c r="DQ194" s="115">
        <v>3303385</v>
      </c>
      <c r="DS194" s="33">
        <v>0</v>
      </c>
      <c r="DT194" s="33">
        <v>1466107.9299999997</v>
      </c>
      <c r="DU194" s="33">
        <v>1448244.2999999998</v>
      </c>
      <c r="DV194" s="33">
        <v>17863.629999999888</v>
      </c>
      <c r="DW194" s="33">
        <v>6871.5</v>
      </c>
      <c r="DX194" s="33">
        <v>6871.5</v>
      </c>
      <c r="DY194" s="33">
        <v>0</v>
      </c>
    </row>
    <row r="195" spans="2:129" x14ac:dyDescent="0.35">
      <c r="B195" s="87">
        <v>3406</v>
      </c>
      <c r="C195" s="115">
        <v>3303406</v>
      </c>
      <c r="D195" s="116" t="s">
        <v>507</v>
      </c>
      <c r="E195" s="116" t="s">
        <v>508</v>
      </c>
      <c r="F195" s="117"/>
      <c r="G195" s="118"/>
      <c r="H195" s="115"/>
      <c r="I195" s="115"/>
      <c r="J195" s="115"/>
      <c r="K195" s="115"/>
      <c r="L195" s="115"/>
      <c r="M195" s="115"/>
      <c r="N195" s="115"/>
      <c r="O195" s="115"/>
      <c r="P195" s="115"/>
      <c r="Q195" s="115"/>
      <c r="R195" s="115"/>
      <c r="S195" s="119"/>
      <c r="T195" s="119"/>
      <c r="U195" s="119"/>
      <c r="V195" s="119"/>
      <c r="W195" s="119"/>
      <c r="X195" s="119"/>
      <c r="Y195" s="120">
        <v>260114.74</v>
      </c>
      <c r="Z195" s="120"/>
      <c r="AA195" s="120">
        <v>0</v>
      </c>
      <c r="AB195" s="121">
        <v>1550025.18</v>
      </c>
      <c r="AC195" s="121">
        <v>0</v>
      </c>
      <c r="AD195" s="121">
        <v>25873.75</v>
      </c>
      <c r="AE195" s="121">
        <v>0</v>
      </c>
      <c r="AF195" s="121">
        <v>208065.5</v>
      </c>
      <c r="AG195" s="121">
        <v>857</v>
      </c>
      <c r="AH195" s="121">
        <v>0</v>
      </c>
      <c r="AI195" s="121">
        <v>0</v>
      </c>
      <c r="AJ195" s="121">
        <v>0</v>
      </c>
      <c r="AK195" s="121">
        <v>0</v>
      </c>
      <c r="AL195" s="121">
        <v>0</v>
      </c>
      <c r="AM195" s="121">
        <v>0</v>
      </c>
      <c r="AN195" s="121">
        <v>11353.34</v>
      </c>
      <c r="AO195" s="121">
        <v>5356.59</v>
      </c>
      <c r="AP195" s="121">
        <v>0</v>
      </c>
      <c r="AQ195" s="121">
        <v>0</v>
      </c>
      <c r="AR195" s="121">
        <v>0</v>
      </c>
      <c r="AS195" s="121">
        <v>0</v>
      </c>
      <c r="AT195" s="121">
        <v>0</v>
      </c>
      <c r="AU195" s="121">
        <v>32686.62</v>
      </c>
      <c r="AV195" s="121">
        <v>33597</v>
      </c>
      <c r="AW195" s="121">
        <v>935648.08000000007</v>
      </c>
      <c r="AX195" s="121">
        <v>0</v>
      </c>
      <c r="AY195" s="121">
        <v>280106.93</v>
      </c>
      <c r="AZ195" s="121">
        <v>0</v>
      </c>
      <c r="BA195" s="121">
        <v>218681.55</v>
      </c>
      <c r="BB195" s="121">
        <v>0</v>
      </c>
      <c r="BC195" s="121">
        <v>38782.589999999997</v>
      </c>
      <c r="BD195" s="121">
        <v>0</v>
      </c>
      <c r="BE195" s="121">
        <v>4863.1099999999997</v>
      </c>
      <c r="BF195" s="121">
        <v>0</v>
      </c>
      <c r="BG195" s="121">
        <v>0</v>
      </c>
      <c r="BH195" s="121">
        <v>14331.2</v>
      </c>
      <c r="BI195" s="121">
        <v>4227.83</v>
      </c>
      <c r="BJ195" s="121">
        <v>33270.26</v>
      </c>
      <c r="BK195" s="121">
        <v>5703.34</v>
      </c>
      <c r="BL195" s="121">
        <v>58768.11</v>
      </c>
      <c r="BM195" s="121">
        <v>0</v>
      </c>
      <c r="BN195" s="121">
        <v>15223.31</v>
      </c>
      <c r="BO195" s="121">
        <v>28826.95</v>
      </c>
      <c r="BP195" s="121">
        <v>0</v>
      </c>
      <c r="BQ195" s="121">
        <v>84.14</v>
      </c>
      <c r="BR195" s="121">
        <v>24354.09</v>
      </c>
      <c r="BS195" s="121">
        <v>4895</v>
      </c>
      <c r="BT195" s="121">
        <v>0</v>
      </c>
      <c r="BU195" s="121">
        <v>111465.18</v>
      </c>
      <c r="BV195" s="121">
        <v>54732.45</v>
      </c>
      <c r="BW195" s="121">
        <v>0</v>
      </c>
      <c r="BX195" s="121">
        <v>146433.15</v>
      </c>
      <c r="BY195" s="121">
        <v>0</v>
      </c>
      <c r="BZ195" s="121">
        <v>0</v>
      </c>
      <c r="CA195" s="121">
        <v>0</v>
      </c>
      <c r="CB195" s="121">
        <v>0</v>
      </c>
      <c r="CC195" s="121">
        <v>0</v>
      </c>
      <c r="CD195" s="121">
        <v>7820.42</v>
      </c>
      <c r="CE195" s="121">
        <v>0</v>
      </c>
      <c r="CF195" s="121">
        <v>0</v>
      </c>
      <c r="CG195" s="121">
        <v>0</v>
      </c>
      <c r="CH195" s="121">
        <v>0</v>
      </c>
      <c r="CI195" s="121">
        <v>7820.42</v>
      </c>
      <c r="CJ195" s="121">
        <v>0</v>
      </c>
      <c r="CK195" s="121">
        <v>0</v>
      </c>
      <c r="CL195" s="121">
        <v>147532.44999999995</v>
      </c>
      <c r="CM195" s="121"/>
      <c r="CN195" s="121">
        <v>0</v>
      </c>
      <c r="CO195" s="121">
        <v>0</v>
      </c>
      <c r="CP195" s="121">
        <v>0</v>
      </c>
      <c r="CQ195" s="121">
        <v>0</v>
      </c>
      <c r="CR195" s="118"/>
      <c r="CS195" s="33">
        <v>147532.44999999995</v>
      </c>
      <c r="CT195" s="33">
        <v>0</v>
      </c>
      <c r="CU195" s="65">
        <v>147532.45000000001</v>
      </c>
      <c r="CV195" s="65">
        <v>0</v>
      </c>
      <c r="CW195" s="65">
        <v>0</v>
      </c>
      <c r="CX195" s="33">
        <v>0</v>
      </c>
      <c r="CY195" s="33">
        <v>147532.45000000001</v>
      </c>
      <c r="CZ195" s="66">
        <v>0</v>
      </c>
      <c r="DA195" s="33">
        <v>0</v>
      </c>
      <c r="DB195" s="33">
        <v>2.9999999969732016E-2</v>
      </c>
      <c r="DC195" s="33">
        <v>0</v>
      </c>
      <c r="DF195" s="33">
        <v>-5.8207660913467407E-11</v>
      </c>
      <c r="DI195" s="33">
        <v>147532.44999999995</v>
      </c>
      <c r="DJ195" s="33">
        <v>0</v>
      </c>
      <c r="DK195" s="65">
        <v>147532.45000000001</v>
      </c>
      <c r="DL195" s="65">
        <v>0</v>
      </c>
      <c r="DQ195" s="115">
        <v>3303406</v>
      </c>
      <c r="DS195" s="33">
        <v>0</v>
      </c>
      <c r="DT195" s="33">
        <v>1867814.9800000002</v>
      </c>
      <c r="DU195" s="33">
        <v>1980397.2700000003</v>
      </c>
      <c r="DV195" s="33">
        <v>-112582.29000000004</v>
      </c>
      <c r="DW195" s="33">
        <v>7820.42</v>
      </c>
      <c r="DX195" s="33">
        <v>7820.42</v>
      </c>
      <c r="DY195" s="33">
        <v>0</v>
      </c>
    </row>
    <row r="196" spans="2:129" x14ac:dyDescent="0.35">
      <c r="B196" s="87">
        <v>3411</v>
      </c>
      <c r="C196" s="115">
        <v>3303411</v>
      </c>
      <c r="D196" s="116" t="s">
        <v>509</v>
      </c>
      <c r="E196" s="116" t="s">
        <v>510</v>
      </c>
      <c r="F196" s="117"/>
      <c r="G196" s="118"/>
      <c r="H196" s="115"/>
      <c r="I196" s="115"/>
      <c r="J196" s="115"/>
      <c r="K196" s="115"/>
      <c r="L196" s="115"/>
      <c r="M196" s="115"/>
      <c r="N196" s="115"/>
      <c r="O196" s="115"/>
      <c r="P196" s="115"/>
      <c r="Q196" s="115"/>
      <c r="R196" s="115"/>
      <c r="S196" s="119"/>
      <c r="T196" s="119"/>
      <c r="U196" s="119"/>
      <c r="V196" s="119"/>
      <c r="W196" s="119"/>
      <c r="X196" s="119"/>
      <c r="Y196" s="120">
        <v>174087.79</v>
      </c>
      <c r="Z196" s="120"/>
      <c r="AA196" s="120">
        <v>0</v>
      </c>
      <c r="AB196" s="121">
        <v>1082067.6399999999</v>
      </c>
      <c r="AC196" s="121">
        <v>0</v>
      </c>
      <c r="AD196" s="121">
        <v>164545.82999999999</v>
      </c>
      <c r="AE196" s="121">
        <v>0</v>
      </c>
      <c r="AF196" s="121">
        <v>153851</v>
      </c>
      <c r="AG196" s="121">
        <v>4200</v>
      </c>
      <c r="AH196" s="121">
        <v>0</v>
      </c>
      <c r="AI196" s="121">
        <v>0</v>
      </c>
      <c r="AJ196" s="121">
        <v>324799.35999999999</v>
      </c>
      <c r="AK196" s="121">
        <v>0</v>
      </c>
      <c r="AL196" s="121">
        <v>0</v>
      </c>
      <c r="AM196" s="121">
        <v>0</v>
      </c>
      <c r="AN196" s="121">
        <v>0</v>
      </c>
      <c r="AO196" s="121">
        <v>3494.1</v>
      </c>
      <c r="AP196" s="121">
        <v>0</v>
      </c>
      <c r="AQ196" s="121">
        <v>0</v>
      </c>
      <c r="AR196" s="121">
        <v>0</v>
      </c>
      <c r="AS196" s="121">
        <v>0</v>
      </c>
      <c r="AT196" s="121">
        <v>0</v>
      </c>
      <c r="AU196" s="121">
        <v>17167.66</v>
      </c>
      <c r="AV196" s="121">
        <v>36211</v>
      </c>
      <c r="AW196" s="121">
        <v>609816.15</v>
      </c>
      <c r="AX196" s="121">
        <v>0</v>
      </c>
      <c r="AY196" s="121">
        <v>260944.43</v>
      </c>
      <c r="AZ196" s="121">
        <v>22194.84</v>
      </c>
      <c r="BA196" s="121">
        <v>100609.72</v>
      </c>
      <c r="BB196" s="121">
        <v>0</v>
      </c>
      <c r="BC196" s="121">
        <v>27666.75</v>
      </c>
      <c r="BD196" s="121">
        <v>346</v>
      </c>
      <c r="BE196" s="121">
        <v>5334.2</v>
      </c>
      <c r="BF196" s="121">
        <v>0</v>
      </c>
      <c r="BG196" s="121">
        <v>0</v>
      </c>
      <c r="BH196" s="121">
        <v>9864.9</v>
      </c>
      <c r="BI196" s="121">
        <v>4580.33</v>
      </c>
      <c r="BJ196" s="121">
        <v>1865.18</v>
      </c>
      <c r="BK196" s="121">
        <v>3105.88</v>
      </c>
      <c r="BL196" s="121">
        <v>43046.57</v>
      </c>
      <c r="BM196" s="121">
        <v>0</v>
      </c>
      <c r="BN196" s="121">
        <v>9421.94</v>
      </c>
      <c r="BO196" s="121">
        <v>38306.230000000338</v>
      </c>
      <c r="BP196" s="121">
        <v>632.72</v>
      </c>
      <c r="BQ196" s="121">
        <v>6739.75</v>
      </c>
      <c r="BR196" s="121">
        <v>31764.79</v>
      </c>
      <c r="BS196" s="121">
        <v>4895</v>
      </c>
      <c r="BT196" s="121">
        <v>0</v>
      </c>
      <c r="BU196" s="121">
        <v>69873.52</v>
      </c>
      <c r="BV196" s="121">
        <v>76532.399999999994</v>
      </c>
      <c r="BW196" s="121">
        <v>13915.26</v>
      </c>
      <c r="BX196" s="121">
        <v>189757.72</v>
      </c>
      <c r="BY196" s="121">
        <v>0</v>
      </c>
      <c r="BZ196" s="121">
        <v>0</v>
      </c>
      <c r="CA196" s="121">
        <v>0</v>
      </c>
      <c r="CB196" s="121">
        <v>0</v>
      </c>
      <c r="CC196" s="121">
        <v>0</v>
      </c>
      <c r="CD196" s="121">
        <v>6409.8</v>
      </c>
      <c r="CE196" s="121">
        <v>0</v>
      </c>
      <c r="CF196" s="121">
        <v>0</v>
      </c>
      <c r="CG196" s="121">
        <v>0</v>
      </c>
      <c r="CH196" s="121">
        <v>0</v>
      </c>
      <c r="CI196" s="121">
        <v>6409.8</v>
      </c>
      <c r="CJ196" s="121">
        <v>0</v>
      </c>
      <c r="CK196" s="121">
        <v>0</v>
      </c>
      <c r="CL196" s="121">
        <v>429210.09999999986</v>
      </c>
      <c r="CM196" s="121"/>
      <c r="CN196" s="121">
        <v>0</v>
      </c>
      <c r="CO196" s="121">
        <v>0</v>
      </c>
      <c r="CP196" s="121">
        <v>0</v>
      </c>
      <c r="CQ196" s="121">
        <v>0</v>
      </c>
      <c r="CR196" s="118"/>
      <c r="CS196" s="33">
        <v>429210.09999999986</v>
      </c>
      <c r="CT196" s="33">
        <v>0</v>
      </c>
      <c r="CU196" s="65">
        <v>429210.1</v>
      </c>
      <c r="CV196" s="65">
        <v>0</v>
      </c>
      <c r="CW196" s="65">
        <v>0</v>
      </c>
      <c r="CX196" s="33">
        <v>0</v>
      </c>
      <c r="CY196" s="33">
        <v>429210.1</v>
      </c>
      <c r="CZ196" s="66">
        <v>0</v>
      </c>
      <c r="DA196" s="33">
        <v>0</v>
      </c>
      <c r="DB196" s="33">
        <v>0</v>
      </c>
      <c r="DC196" s="33">
        <v>-9.9999996600672603E-3</v>
      </c>
      <c r="DF196" s="33">
        <v>-1.1641532182693481E-10</v>
      </c>
      <c r="DI196" s="33">
        <v>429210.09999999986</v>
      </c>
      <c r="DJ196" s="33">
        <v>0</v>
      </c>
      <c r="DK196" s="65">
        <v>429210.1</v>
      </c>
      <c r="DL196" s="65">
        <v>0</v>
      </c>
      <c r="DQ196" s="115">
        <v>3303411</v>
      </c>
      <c r="DS196" s="33">
        <v>0</v>
      </c>
      <c r="DT196" s="33">
        <v>1786336.59</v>
      </c>
      <c r="DU196" s="33">
        <v>1531214.2800000003</v>
      </c>
      <c r="DV196" s="33">
        <v>255122.30999999982</v>
      </c>
      <c r="DW196" s="33">
        <v>6409.8</v>
      </c>
      <c r="DX196" s="33">
        <v>6409.8</v>
      </c>
      <c r="DY196" s="33">
        <v>0</v>
      </c>
    </row>
    <row r="197" spans="2:129" x14ac:dyDescent="0.35">
      <c r="B197" s="87">
        <v>3428</v>
      </c>
      <c r="C197" s="115">
        <v>3303428</v>
      </c>
      <c r="D197" s="116" t="s">
        <v>511</v>
      </c>
      <c r="E197" s="116" t="s">
        <v>512</v>
      </c>
      <c r="F197" s="117"/>
      <c r="G197" s="118"/>
      <c r="H197" s="115"/>
      <c r="I197" s="115"/>
      <c r="J197" s="115"/>
      <c r="K197" s="115"/>
      <c r="L197" s="115"/>
      <c r="M197" s="115"/>
      <c r="N197" s="115"/>
      <c r="O197" s="115"/>
      <c r="P197" s="115"/>
      <c r="Q197" s="115"/>
      <c r="R197" s="115"/>
      <c r="S197" s="119"/>
      <c r="T197" s="119"/>
      <c r="U197" s="119"/>
      <c r="V197" s="119"/>
      <c r="W197" s="119"/>
      <c r="X197" s="119"/>
      <c r="Y197" s="120">
        <v>299586.38</v>
      </c>
      <c r="Z197" s="120"/>
      <c r="AA197" s="120">
        <v>8524.25</v>
      </c>
      <c r="AB197" s="121">
        <v>2244510.94</v>
      </c>
      <c r="AC197" s="121">
        <v>0</v>
      </c>
      <c r="AD197" s="121">
        <v>71496.25</v>
      </c>
      <c r="AE197" s="121">
        <v>0</v>
      </c>
      <c r="AF197" s="121">
        <v>121370.5</v>
      </c>
      <c r="AG197" s="121">
        <v>6513.86</v>
      </c>
      <c r="AH197" s="121">
        <v>0</v>
      </c>
      <c r="AI197" s="121">
        <v>0</v>
      </c>
      <c r="AJ197" s="121">
        <v>83165.469999999521</v>
      </c>
      <c r="AK197" s="121">
        <v>46668.65</v>
      </c>
      <c r="AL197" s="121">
        <v>0</v>
      </c>
      <c r="AM197" s="121">
        <v>0</v>
      </c>
      <c r="AN197" s="121">
        <v>43210.91</v>
      </c>
      <c r="AO197" s="121">
        <v>0</v>
      </c>
      <c r="AP197" s="121">
        <v>0</v>
      </c>
      <c r="AQ197" s="121">
        <v>0</v>
      </c>
      <c r="AR197" s="121">
        <v>0</v>
      </c>
      <c r="AS197" s="121">
        <v>0</v>
      </c>
      <c r="AT197" s="121">
        <v>0</v>
      </c>
      <c r="AU197" s="121">
        <v>19455.45</v>
      </c>
      <c r="AV197" s="121">
        <v>79914</v>
      </c>
      <c r="AW197" s="121">
        <v>1170159.52</v>
      </c>
      <c r="AX197" s="121">
        <v>21355.8</v>
      </c>
      <c r="AY197" s="121">
        <v>482459.99</v>
      </c>
      <c r="AZ197" s="121">
        <v>128202.01</v>
      </c>
      <c r="BA197" s="121">
        <v>157362.89000000001</v>
      </c>
      <c r="BB197" s="121">
        <v>85102.39</v>
      </c>
      <c r="BC197" s="121">
        <v>132470.67000000001</v>
      </c>
      <c r="BD197" s="121">
        <v>9512.2999999999993</v>
      </c>
      <c r="BE197" s="121">
        <v>7002.9</v>
      </c>
      <c r="BF197" s="121">
        <v>0</v>
      </c>
      <c r="BG197" s="121">
        <v>445</v>
      </c>
      <c r="BH197" s="121">
        <v>42598.03</v>
      </c>
      <c r="BI197" s="121">
        <v>0</v>
      </c>
      <c r="BJ197" s="121">
        <v>28874.03</v>
      </c>
      <c r="BK197" s="121">
        <v>8146.2</v>
      </c>
      <c r="BL197" s="121">
        <v>51322.48</v>
      </c>
      <c r="BM197" s="121">
        <v>31594.19</v>
      </c>
      <c r="BN197" s="121">
        <v>13069.25</v>
      </c>
      <c r="BO197" s="121">
        <v>104473.64</v>
      </c>
      <c r="BP197" s="121">
        <v>2093.98</v>
      </c>
      <c r="BQ197" s="121">
        <v>0</v>
      </c>
      <c r="BR197" s="121">
        <v>46393.23</v>
      </c>
      <c r="BS197" s="121">
        <v>4895</v>
      </c>
      <c r="BT197" s="121">
        <v>7420</v>
      </c>
      <c r="BU197" s="121">
        <v>94047.12</v>
      </c>
      <c r="BV197" s="121">
        <v>99841.24</v>
      </c>
      <c r="BW197" s="121">
        <v>1107.5</v>
      </c>
      <c r="BX197" s="121">
        <v>184146.4</v>
      </c>
      <c r="BY197" s="121">
        <v>0</v>
      </c>
      <c r="BZ197" s="121">
        <v>0</v>
      </c>
      <c r="CA197" s="121">
        <v>0</v>
      </c>
      <c r="CB197" s="121">
        <v>0</v>
      </c>
      <c r="CC197" s="121">
        <v>0</v>
      </c>
      <c r="CD197" s="121">
        <v>9768.06</v>
      </c>
      <c r="CE197" s="121">
        <v>0</v>
      </c>
      <c r="CF197" s="121">
        <v>0</v>
      </c>
      <c r="CG197" s="121">
        <v>0</v>
      </c>
      <c r="CH197" s="121">
        <v>0</v>
      </c>
      <c r="CI197" s="121">
        <v>9768.06</v>
      </c>
      <c r="CJ197" s="121">
        <v>0</v>
      </c>
      <c r="CK197" s="121">
        <v>0</v>
      </c>
      <c r="CL197" s="121">
        <v>101796.65000000002</v>
      </c>
      <c r="CM197" s="121"/>
      <c r="CN197" s="121">
        <v>8524.25</v>
      </c>
      <c r="CO197" s="121">
        <v>0</v>
      </c>
      <c r="CP197" s="121">
        <v>0</v>
      </c>
      <c r="CQ197" s="121">
        <v>0</v>
      </c>
      <c r="CR197" s="118"/>
      <c r="CS197" s="33">
        <v>101796.65000000002</v>
      </c>
      <c r="CT197" s="33">
        <v>8524.25</v>
      </c>
      <c r="CU197" s="65">
        <v>101796.65</v>
      </c>
      <c r="CV197" s="65">
        <v>8524.25</v>
      </c>
      <c r="CW197" s="65">
        <v>0</v>
      </c>
      <c r="CX197" s="33">
        <v>0</v>
      </c>
      <c r="CY197" s="33">
        <v>110320.9</v>
      </c>
      <c r="CZ197" s="66">
        <v>0</v>
      </c>
      <c r="DA197" s="33">
        <v>0</v>
      </c>
      <c r="DB197" s="33">
        <v>24203.980000000476</v>
      </c>
      <c r="DC197" s="33">
        <v>0</v>
      </c>
      <c r="DF197" s="33">
        <v>2.9103830456733704E-11</v>
      </c>
      <c r="DI197" s="33">
        <v>101796.65000000002</v>
      </c>
      <c r="DJ197" s="33">
        <v>8524.25</v>
      </c>
      <c r="DK197" s="65">
        <v>101796.65</v>
      </c>
      <c r="DL197" s="65">
        <v>8524.25</v>
      </c>
      <c r="DQ197" s="115">
        <v>3303428</v>
      </c>
      <c r="DS197" s="33">
        <v>0</v>
      </c>
      <c r="DT197" s="33">
        <v>2716306.03</v>
      </c>
      <c r="DU197" s="33">
        <v>2914095.76</v>
      </c>
      <c r="DV197" s="33">
        <v>-197789.72999999998</v>
      </c>
      <c r="DW197" s="33">
        <v>9768.06</v>
      </c>
      <c r="DX197" s="33">
        <v>9768.06</v>
      </c>
      <c r="DY197" s="33">
        <v>0</v>
      </c>
    </row>
    <row r="198" spans="2:129" x14ac:dyDescent="0.35">
      <c r="B198" s="87">
        <v>3436</v>
      </c>
      <c r="C198" s="115">
        <v>3303436</v>
      </c>
      <c r="D198" s="116" t="s">
        <v>513</v>
      </c>
      <c r="E198" s="116" t="s">
        <v>514</v>
      </c>
      <c r="F198" s="117"/>
      <c r="G198" s="118"/>
      <c r="H198" s="115"/>
      <c r="I198" s="115"/>
      <c r="J198" s="115"/>
      <c r="K198" s="115"/>
      <c r="L198" s="115"/>
      <c r="M198" s="115"/>
      <c r="N198" s="115"/>
      <c r="O198" s="115"/>
      <c r="P198" s="115"/>
      <c r="Q198" s="115"/>
      <c r="R198" s="115"/>
      <c r="S198" s="119"/>
      <c r="T198" s="119"/>
      <c r="U198" s="119"/>
      <c r="V198" s="119"/>
      <c r="W198" s="119"/>
      <c r="X198" s="119"/>
      <c r="Y198" s="120"/>
      <c r="Z198" s="120">
        <v>-582135.75</v>
      </c>
      <c r="AA198" s="120">
        <v>0</v>
      </c>
      <c r="AB198" s="121">
        <v>1051143.1000000001</v>
      </c>
      <c r="AC198" s="121">
        <v>0</v>
      </c>
      <c r="AD198" s="121">
        <v>16670</v>
      </c>
      <c r="AE198" s="121">
        <v>0</v>
      </c>
      <c r="AF198" s="121">
        <v>120005</v>
      </c>
      <c r="AG198" s="121">
        <v>3456.93</v>
      </c>
      <c r="AH198" s="121">
        <v>0</v>
      </c>
      <c r="AI198" s="121">
        <v>0</v>
      </c>
      <c r="AJ198" s="121">
        <v>153890.65000000026</v>
      </c>
      <c r="AK198" s="121">
        <v>0</v>
      </c>
      <c r="AL198" s="121">
        <v>0</v>
      </c>
      <c r="AM198" s="121">
        <v>0</v>
      </c>
      <c r="AN198" s="121">
        <v>3088.09</v>
      </c>
      <c r="AO198" s="121">
        <v>0</v>
      </c>
      <c r="AP198" s="121">
        <v>0</v>
      </c>
      <c r="AQ198" s="121">
        <v>0</v>
      </c>
      <c r="AR198" s="121">
        <v>0</v>
      </c>
      <c r="AS198" s="121">
        <v>0</v>
      </c>
      <c r="AT198" s="121">
        <v>0</v>
      </c>
      <c r="AU198" s="121">
        <v>6221.5</v>
      </c>
      <c r="AV198" s="121">
        <v>44401</v>
      </c>
      <c r="AW198" s="121">
        <v>499401.39</v>
      </c>
      <c r="AX198" s="121">
        <v>0</v>
      </c>
      <c r="AY198" s="121">
        <v>124538.04</v>
      </c>
      <c r="AZ198" s="121">
        <v>0</v>
      </c>
      <c r="BA198" s="121">
        <v>176676.87</v>
      </c>
      <c r="BB198" s="121">
        <v>0</v>
      </c>
      <c r="BC198" s="121">
        <v>83656.039999999994</v>
      </c>
      <c r="BD198" s="121">
        <v>5594.12</v>
      </c>
      <c r="BE198" s="121">
        <v>680.67</v>
      </c>
      <c r="BF198" s="121">
        <v>0</v>
      </c>
      <c r="BG198" s="121">
        <v>0</v>
      </c>
      <c r="BH198" s="121">
        <v>960</v>
      </c>
      <c r="BI198" s="121">
        <v>6608.7</v>
      </c>
      <c r="BJ198" s="121">
        <v>3936.31</v>
      </c>
      <c r="BK198" s="121">
        <v>3014.07</v>
      </c>
      <c r="BL198" s="121">
        <v>44235.37</v>
      </c>
      <c r="BM198" s="121">
        <v>0</v>
      </c>
      <c r="BN198" s="121">
        <v>13104.41</v>
      </c>
      <c r="BO198" s="121">
        <v>141675.22</v>
      </c>
      <c r="BP198" s="121">
        <v>3097.61</v>
      </c>
      <c r="BQ198" s="121">
        <v>0</v>
      </c>
      <c r="BR198" s="121">
        <v>44297.23</v>
      </c>
      <c r="BS198" s="121">
        <v>4895</v>
      </c>
      <c r="BT198" s="121">
        <v>1050</v>
      </c>
      <c r="BU198" s="121">
        <v>70618.850000000006</v>
      </c>
      <c r="BV198" s="121">
        <v>147595.01999999999</v>
      </c>
      <c r="BW198" s="121">
        <v>2207.48</v>
      </c>
      <c r="BX198" s="121">
        <v>44447.86</v>
      </c>
      <c r="BY198" s="121">
        <v>0</v>
      </c>
      <c r="BZ198" s="121">
        <v>0</v>
      </c>
      <c r="CA198" s="121">
        <v>0</v>
      </c>
      <c r="CB198" s="121">
        <v>0</v>
      </c>
      <c r="CC198" s="121">
        <v>0</v>
      </c>
      <c r="CD198" s="121">
        <v>6543.45</v>
      </c>
      <c r="CE198" s="121">
        <v>0</v>
      </c>
      <c r="CF198" s="121">
        <v>0</v>
      </c>
      <c r="CG198" s="121">
        <v>0</v>
      </c>
      <c r="CH198" s="121">
        <v>0</v>
      </c>
      <c r="CI198" s="121">
        <v>6543.45</v>
      </c>
      <c r="CJ198" s="121">
        <v>0</v>
      </c>
      <c r="CK198" s="121">
        <v>0</v>
      </c>
      <c r="CL198" s="121">
        <v>-605549.74000000022</v>
      </c>
      <c r="CM198" s="121"/>
      <c r="CN198" s="121">
        <v>0</v>
      </c>
      <c r="CO198" s="121">
        <v>0</v>
      </c>
      <c r="CP198" s="121">
        <v>0</v>
      </c>
      <c r="CQ198" s="121">
        <v>0</v>
      </c>
      <c r="CR198" s="118"/>
      <c r="CS198" s="33">
        <v>-605549.74000000022</v>
      </c>
      <c r="CT198" s="33">
        <v>0</v>
      </c>
      <c r="CU198" s="65">
        <v>-605549.74</v>
      </c>
      <c r="CV198" s="65">
        <v>0</v>
      </c>
      <c r="CW198" s="65">
        <v>0</v>
      </c>
      <c r="CX198" s="33">
        <v>0</v>
      </c>
      <c r="CY198" s="33">
        <v>-605549.74</v>
      </c>
      <c r="CZ198" s="66">
        <v>0</v>
      </c>
      <c r="DA198" s="33">
        <v>0</v>
      </c>
      <c r="DB198" s="33">
        <v>115479.24999999977</v>
      </c>
      <c r="DC198" s="33">
        <v>0</v>
      </c>
      <c r="DF198" s="33">
        <v>-2.3283064365386963E-10</v>
      </c>
      <c r="DI198" s="33">
        <v>-605549.74000000022</v>
      </c>
      <c r="DJ198" s="33">
        <v>0</v>
      </c>
      <c r="DK198" s="65">
        <v>-605549.74</v>
      </c>
      <c r="DL198" s="65">
        <v>0</v>
      </c>
      <c r="DQ198" s="115">
        <v>3303436</v>
      </c>
      <c r="DS198" s="33">
        <v>0</v>
      </c>
      <c r="DT198" s="33">
        <v>1398876.2700000003</v>
      </c>
      <c r="DU198" s="33">
        <v>1422290.2600000005</v>
      </c>
      <c r="DV198" s="33">
        <v>-23413.990000000224</v>
      </c>
      <c r="DW198" s="33">
        <v>6543.45</v>
      </c>
      <c r="DX198" s="33">
        <v>6543.45</v>
      </c>
      <c r="DY198" s="33">
        <v>0</v>
      </c>
    </row>
    <row r="199" spans="2:129" x14ac:dyDescent="0.35">
      <c r="B199" s="87">
        <v>4177</v>
      </c>
      <c r="C199" s="115">
        <v>3304177</v>
      </c>
      <c r="D199" s="116" t="s">
        <v>515</v>
      </c>
      <c r="E199" s="116" t="s">
        <v>516</v>
      </c>
      <c r="F199" s="117"/>
      <c r="G199" s="118"/>
      <c r="H199" s="115"/>
      <c r="I199" s="115"/>
      <c r="J199" s="115"/>
      <c r="K199" s="115"/>
      <c r="L199" s="115"/>
      <c r="M199" s="115"/>
      <c r="N199" s="115"/>
      <c r="O199" s="115"/>
      <c r="P199" s="115"/>
      <c r="Q199" s="115"/>
      <c r="R199" s="115"/>
      <c r="S199" s="119"/>
      <c r="T199" s="119"/>
      <c r="U199" s="119"/>
      <c r="V199" s="119"/>
      <c r="W199" s="119"/>
      <c r="X199" s="119"/>
      <c r="Y199" s="120">
        <v>838673.72</v>
      </c>
      <c r="Z199" s="120"/>
      <c r="AA199" s="120">
        <v>48047.08</v>
      </c>
      <c r="AB199" s="121">
        <v>5861169.6299999999</v>
      </c>
      <c r="AC199" s="121">
        <v>0</v>
      </c>
      <c r="AD199" s="121">
        <v>17115</v>
      </c>
      <c r="AE199" s="121">
        <v>0</v>
      </c>
      <c r="AF199" s="121">
        <v>438140</v>
      </c>
      <c r="AG199" s="121">
        <v>8913.86</v>
      </c>
      <c r="AH199" s="121">
        <v>0</v>
      </c>
      <c r="AI199" s="121">
        <v>0</v>
      </c>
      <c r="AJ199" s="121">
        <v>266170.80999999779</v>
      </c>
      <c r="AK199" s="121">
        <v>0</v>
      </c>
      <c r="AL199" s="121">
        <v>0</v>
      </c>
      <c r="AM199" s="121">
        <v>0</v>
      </c>
      <c r="AN199" s="121">
        <v>50758.45</v>
      </c>
      <c r="AO199" s="121">
        <v>0</v>
      </c>
      <c r="AP199" s="121">
        <v>0</v>
      </c>
      <c r="AQ199" s="121">
        <v>0</v>
      </c>
      <c r="AR199" s="121">
        <v>0</v>
      </c>
      <c r="AS199" s="121">
        <v>0</v>
      </c>
      <c r="AT199" s="121">
        <v>0</v>
      </c>
      <c r="AU199" s="121">
        <v>138136.16</v>
      </c>
      <c r="AV199" s="121">
        <v>0</v>
      </c>
      <c r="AW199" s="121">
        <v>3700346.61</v>
      </c>
      <c r="AX199" s="121">
        <v>0</v>
      </c>
      <c r="AY199" s="121">
        <v>350008</v>
      </c>
      <c r="AZ199" s="121">
        <v>93245</v>
      </c>
      <c r="BA199" s="121">
        <v>582085.36</v>
      </c>
      <c r="BB199" s="121">
        <v>0</v>
      </c>
      <c r="BC199" s="121">
        <v>29427</v>
      </c>
      <c r="BD199" s="121">
        <v>65522.47</v>
      </c>
      <c r="BE199" s="121">
        <v>55223.86</v>
      </c>
      <c r="BF199" s="121">
        <v>0</v>
      </c>
      <c r="BG199" s="121">
        <v>93</v>
      </c>
      <c r="BH199" s="121">
        <v>389600.21</v>
      </c>
      <c r="BI199" s="121">
        <v>0</v>
      </c>
      <c r="BJ199" s="121">
        <v>126942.1</v>
      </c>
      <c r="BK199" s="121">
        <v>18940.02</v>
      </c>
      <c r="BL199" s="121">
        <v>193687.43</v>
      </c>
      <c r="BM199" s="121">
        <v>74096.639999999999</v>
      </c>
      <c r="BN199" s="121">
        <v>118530.04</v>
      </c>
      <c r="BO199" s="121">
        <v>140158.18</v>
      </c>
      <c r="BP199" s="121">
        <v>258378.45</v>
      </c>
      <c r="BQ199" s="121">
        <v>48042.45</v>
      </c>
      <c r="BR199" s="121">
        <v>116112.73</v>
      </c>
      <c r="BS199" s="121">
        <v>4895</v>
      </c>
      <c r="BT199" s="121">
        <v>10310.16</v>
      </c>
      <c r="BU199" s="121">
        <v>148089.07999999999</v>
      </c>
      <c r="BV199" s="121">
        <v>102853.04</v>
      </c>
      <c r="BW199" s="121">
        <v>135320.89000000001</v>
      </c>
      <c r="BX199" s="121">
        <v>294469.06</v>
      </c>
      <c r="BY199" s="121">
        <v>0</v>
      </c>
      <c r="BZ199" s="121">
        <v>0</v>
      </c>
      <c r="CA199" s="121">
        <v>0</v>
      </c>
      <c r="CB199" s="121">
        <v>0</v>
      </c>
      <c r="CC199" s="121">
        <v>0</v>
      </c>
      <c r="CD199" s="121">
        <v>16867.189999999999</v>
      </c>
      <c r="CE199" s="121">
        <v>0</v>
      </c>
      <c r="CF199" s="121">
        <v>0</v>
      </c>
      <c r="CG199" s="121">
        <v>0</v>
      </c>
      <c r="CH199" s="121">
        <v>0</v>
      </c>
      <c r="CI199" s="121">
        <v>0</v>
      </c>
      <c r="CJ199" s="121">
        <v>0</v>
      </c>
      <c r="CK199" s="121">
        <v>0</v>
      </c>
      <c r="CL199" s="121">
        <v>562700.84999999986</v>
      </c>
      <c r="CM199" s="121"/>
      <c r="CN199" s="121">
        <v>64914.270000000004</v>
      </c>
      <c r="CO199" s="121">
        <v>0</v>
      </c>
      <c r="CP199" s="121">
        <v>0</v>
      </c>
      <c r="CQ199" s="121">
        <v>0</v>
      </c>
      <c r="CR199" s="118"/>
      <c r="CS199" s="33">
        <v>562700.84999999986</v>
      </c>
      <c r="CT199" s="33">
        <v>64914.270000000004</v>
      </c>
      <c r="CU199" s="65">
        <v>562700.85</v>
      </c>
      <c r="CV199" s="65">
        <v>64914.27</v>
      </c>
      <c r="CW199" s="65">
        <v>0</v>
      </c>
      <c r="CX199" s="33">
        <v>0</v>
      </c>
      <c r="CY199" s="33">
        <v>627615.12</v>
      </c>
      <c r="CZ199" s="66">
        <v>0</v>
      </c>
      <c r="DA199" s="33">
        <v>0</v>
      </c>
      <c r="DB199" s="33">
        <v>2.0000002230517566E-2</v>
      </c>
      <c r="DC199" s="33">
        <v>0</v>
      </c>
      <c r="DF199" s="33">
        <v>-9.4587448984384537E-11</v>
      </c>
      <c r="DI199" s="33">
        <v>562700.84999999986</v>
      </c>
      <c r="DJ199" s="33">
        <v>64914.270000000004</v>
      </c>
      <c r="DK199" s="65">
        <v>562700.85</v>
      </c>
      <c r="DL199" s="65">
        <v>64914.27</v>
      </c>
      <c r="DQ199" s="115">
        <v>3304177</v>
      </c>
      <c r="DS199" s="33">
        <v>0</v>
      </c>
      <c r="DT199" s="33">
        <v>6780403.9099999983</v>
      </c>
      <c r="DU199" s="33">
        <v>7056376.7799999984</v>
      </c>
      <c r="DV199" s="33">
        <v>-275972.87000000011</v>
      </c>
      <c r="DW199" s="33">
        <v>16867.189999999999</v>
      </c>
      <c r="DX199" s="33">
        <v>0</v>
      </c>
      <c r="DY199" s="33">
        <v>16867.189999999999</v>
      </c>
    </row>
    <row r="200" spans="2:129" x14ac:dyDescent="0.35">
      <c r="B200" s="87">
        <v>4193</v>
      </c>
      <c r="C200" s="115">
        <v>3304193</v>
      </c>
      <c r="D200" s="116" t="s">
        <v>517</v>
      </c>
      <c r="E200" s="116" t="s">
        <v>518</v>
      </c>
      <c r="F200" s="117"/>
      <c r="G200" s="118"/>
      <c r="H200" s="115"/>
      <c r="I200" s="115"/>
      <c r="J200" s="115"/>
      <c r="K200" s="115"/>
      <c r="L200" s="115"/>
      <c r="M200" s="115"/>
      <c r="N200" s="115"/>
      <c r="O200" s="115"/>
      <c r="P200" s="115"/>
      <c r="Q200" s="115"/>
      <c r="R200" s="115"/>
      <c r="S200" s="119"/>
      <c r="T200" s="119"/>
      <c r="U200" s="119"/>
      <c r="V200" s="119"/>
      <c r="W200" s="119"/>
      <c r="X200" s="119"/>
      <c r="Y200" s="120">
        <v>490224.5</v>
      </c>
      <c r="Z200" s="120"/>
      <c r="AA200" s="120">
        <v>15464.56</v>
      </c>
      <c r="AB200" s="121">
        <v>4658923.4400000004</v>
      </c>
      <c r="AC200" s="121">
        <v>0</v>
      </c>
      <c r="AD200" s="121">
        <v>165105.19</v>
      </c>
      <c r="AE200" s="121">
        <v>0</v>
      </c>
      <c r="AF200" s="121">
        <v>250690.5</v>
      </c>
      <c r="AG200" s="121">
        <v>8913.86</v>
      </c>
      <c r="AH200" s="121">
        <v>0</v>
      </c>
      <c r="AI200" s="121">
        <v>0</v>
      </c>
      <c r="AJ200" s="121">
        <v>722410.08999999985</v>
      </c>
      <c r="AK200" s="121">
        <v>0</v>
      </c>
      <c r="AL200" s="121">
        <v>0</v>
      </c>
      <c r="AM200" s="121">
        <v>0</v>
      </c>
      <c r="AN200" s="121">
        <v>93068.59</v>
      </c>
      <c r="AO200" s="121">
        <v>0</v>
      </c>
      <c r="AP200" s="121">
        <v>0</v>
      </c>
      <c r="AQ200" s="121">
        <v>0</v>
      </c>
      <c r="AR200" s="121">
        <v>0</v>
      </c>
      <c r="AS200" s="121">
        <v>0</v>
      </c>
      <c r="AT200" s="121">
        <v>0</v>
      </c>
      <c r="AU200" s="121">
        <v>87223.5</v>
      </c>
      <c r="AV200" s="121">
        <v>0</v>
      </c>
      <c r="AW200" s="121">
        <v>3337606.51</v>
      </c>
      <c r="AX200" s="121">
        <v>0</v>
      </c>
      <c r="AY200" s="121">
        <v>238510.2</v>
      </c>
      <c r="AZ200" s="121">
        <v>0</v>
      </c>
      <c r="BA200" s="121">
        <v>572743.63</v>
      </c>
      <c r="BB200" s="121">
        <v>0</v>
      </c>
      <c r="BC200" s="121">
        <v>79336.42</v>
      </c>
      <c r="BD200" s="121">
        <v>5143.29</v>
      </c>
      <c r="BE200" s="121">
        <v>2990.88</v>
      </c>
      <c r="BF200" s="121">
        <v>0</v>
      </c>
      <c r="BG200" s="121">
        <v>0</v>
      </c>
      <c r="BH200" s="121">
        <v>5130.1499999999996</v>
      </c>
      <c r="BI200" s="121">
        <v>0</v>
      </c>
      <c r="BJ200" s="121">
        <v>38.99</v>
      </c>
      <c r="BK200" s="121">
        <v>0</v>
      </c>
      <c r="BL200" s="121">
        <v>157654.48000000001</v>
      </c>
      <c r="BM200" s="121">
        <v>101882.88</v>
      </c>
      <c r="BN200" s="121">
        <v>0</v>
      </c>
      <c r="BO200" s="121">
        <v>116643.7</v>
      </c>
      <c r="BP200" s="121">
        <v>84447.87</v>
      </c>
      <c r="BQ200" s="121">
        <v>8572.6</v>
      </c>
      <c r="BR200" s="121">
        <v>321677.02</v>
      </c>
      <c r="BS200" s="121">
        <v>4895</v>
      </c>
      <c r="BT200" s="121">
        <v>0</v>
      </c>
      <c r="BU200" s="121">
        <v>6874.49</v>
      </c>
      <c r="BV200" s="121">
        <v>0</v>
      </c>
      <c r="BW200" s="121">
        <v>17180.240000000002</v>
      </c>
      <c r="BX200" s="121">
        <v>111433.1</v>
      </c>
      <c r="BY200" s="121">
        <v>312199.46999999997</v>
      </c>
      <c r="BZ200" s="121">
        <v>0</v>
      </c>
      <c r="CA200" s="121">
        <v>0</v>
      </c>
      <c r="CB200" s="121">
        <v>0</v>
      </c>
      <c r="CC200" s="121">
        <v>0</v>
      </c>
      <c r="CD200" s="121">
        <v>15154.38</v>
      </c>
      <c r="CE200" s="121">
        <v>29588.59</v>
      </c>
      <c r="CF200" s="121">
        <v>0</v>
      </c>
      <c r="CG200" s="121">
        <v>0</v>
      </c>
      <c r="CH200" s="121">
        <v>0</v>
      </c>
      <c r="CI200" s="121">
        <v>0</v>
      </c>
      <c r="CJ200" s="121">
        <v>0</v>
      </c>
      <c r="CK200" s="121"/>
      <c r="CL200" s="121">
        <v>991598.75</v>
      </c>
      <c r="CM200" s="121"/>
      <c r="CN200" s="121">
        <v>60207.53</v>
      </c>
      <c r="CO200" s="121">
        <v>0</v>
      </c>
      <c r="CP200" s="121">
        <v>0</v>
      </c>
      <c r="CQ200" s="121">
        <v>0</v>
      </c>
      <c r="CR200" s="118"/>
      <c r="CS200" s="33">
        <v>991598.75</v>
      </c>
      <c r="CT200" s="33">
        <v>60207.53</v>
      </c>
      <c r="CU200" s="65">
        <v>991598.75</v>
      </c>
      <c r="CV200" s="65">
        <v>60207.53</v>
      </c>
      <c r="CW200" s="65">
        <v>0</v>
      </c>
      <c r="CX200" s="33">
        <v>0</v>
      </c>
      <c r="CY200" s="33">
        <v>1051806.28</v>
      </c>
      <c r="CZ200" s="66">
        <v>29588.59</v>
      </c>
      <c r="DA200" s="33">
        <v>29588.59</v>
      </c>
      <c r="DB200" s="33">
        <v>43876.200000000186</v>
      </c>
      <c r="DC200" s="33">
        <v>0</v>
      </c>
      <c r="DF200" s="33">
        <v>0</v>
      </c>
      <c r="DI200" s="33">
        <v>991598.75</v>
      </c>
      <c r="DJ200" s="33">
        <v>60207.53</v>
      </c>
      <c r="DK200" s="65">
        <v>991598.75</v>
      </c>
      <c r="DL200" s="65">
        <v>60207.53</v>
      </c>
      <c r="DQ200" s="115">
        <v>3304193</v>
      </c>
      <c r="DS200" s="33">
        <v>0</v>
      </c>
      <c r="DT200" s="33">
        <v>5986335.1700000009</v>
      </c>
      <c r="DU200" s="33">
        <v>5484960.9200000009</v>
      </c>
      <c r="DV200" s="33">
        <v>501374.25</v>
      </c>
      <c r="DW200" s="33">
        <v>44742.97</v>
      </c>
      <c r="DX200" s="33">
        <v>0</v>
      </c>
      <c r="DY200" s="33">
        <v>44742.97</v>
      </c>
    </row>
    <row r="201" spans="2:129" x14ac:dyDescent="0.35">
      <c r="B201" s="87">
        <v>4223</v>
      </c>
      <c r="C201" s="115">
        <v>3304223</v>
      </c>
      <c r="D201" s="116" t="s">
        <v>519</v>
      </c>
      <c r="E201" s="116" t="s">
        <v>520</v>
      </c>
      <c r="F201" s="117"/>
      <c r="G201" s="118"/>
      <c r="H201" s="115"/>
      <c r="I201" s="115"/>
      <c r="J201" s="115"/>
      <c r="K201" s="115"/>
      <c r="L201" s="115"/>
      <c r="M201" s="115"/>
      <c r="N201" s="115"/>
      <c r="O201" s="115"/>
      <c r="P201" s="115"/>
      <c r="Q201" s="115"/>
      <c r="R201" s="115"/>
      <c r="S201" s="119"/>
      <c r="T201" s="119"/>
      <c r="U201" s="119"/>
      <c r="V201" s="119"/>
      <c r="W201" s="119"/>
      <c r="X201" s="119"/>
      <c r="Y201" s="120">
        <v>5159546.6500000004</v>
      </c>
      <c r="Z201" s="120"/>
      <c r="AA201" s="120">
        <v>25588.75</v>
      </c>
      <c r="AB201" s="121">
        <v>7915861.79</v>
      </c>
      <c r="AC201" s="121">
        <v>1048442</v>
      </c>
      <c r="AD201" s="121">
        <v>78577.539999999994</v>
      </c>
      <c r="AE201" s="121">
        <v>0</v>
      </c>
      <c r="AF201" s="121">
        <v>671016.5</v>
      </c>
      <c r="AG201" s="121">
        <v>15598.51</v>
      </c>
      <c r="AH201" s="121">
        <v>0</v>
      </c>
      <c r="AI201" s="121">
        <v>0</v>
      </c>
      <c r="AJ201" s="121">
        <v>727736.69</v>
      </c>
      <c r="AK201" s="121">
        <v>18440.419999999998</v>
      </c>
      <c r="AL201" s="121">
        <v>0</v>
      </c>
      <c r="AM201" s="121">
        <v>0</v>
      </c>
      <c r="AN201" s="121">
        <v>10723.79</v>
      </c>
      <c r="AO201" s="121">
        <v>0</v>
      </c>
      <c r="AP201" s="121">
        <v>0</v>
      </c>
      <c r="AQ201" s="121">
        <v>0</v>
      </c>
      <c r="AR201" s="121">
        <v>0</v>
      </c>
      <c r="AS201" s="121">
        <v>0</v>
      </c>
      <c r="AT201" s="121">
        <v>0</v>
      </c>
      <c r="AU201" s="121">
        <v>162017.78</v>
      </c>
      <c r="AV201" s="121">
        <v>0</v>
      </c>
      <c r="AW201" s="121">
        <v>5602546.2599999998</v>
      </c>
      <c r="AX201" s="121">
        <v>0</v>
      </c>
      <c r="AY201" s="121">
        <v>352551.04</v>
      </c>
      <c r="AZ201" s="121">
        <v>0</v>
      </c>
      <c r="BA201" s="121">
        <v>1339471.55</v>
      </c>
      <c r="BB201" s="121">
        <v>0</v>
      </c>
      <c r="BC201" s="121">
        <v>126764.32</v>
      </c>
      <c r="BD201" s="121">
        <v>20108.87</v>
      </c>
      <c r="BE201" s="121">
        <v>42126.83</v>
      </c>
      <c r="BF201" s="121">
        <v>38.79</v>
      </c>
      <c r="BG201" s="121">
        <v>0</v>
      </c>
      <c r="BH201" s="121">
        <v>119179.46</v>
      </c>
      <c r="BI201" s="121">
        <v>0</v>
      </c>
      <c r="BJ201" s="121">
        <v>0</v>
      </c>
      <c r="BK201" s="121">
        <v>106117.97</v>
      </c>
      <c r="BL201" s="121">
        <v>614578.91</v>
      </c>
      <c r="BM201" s="121">
        <v>171194.56</v>
      </c>
      <c r="BN201" s="121">
        <v>0</v>
      </c>
      <c r="BO201" s="121">
        <v>261746.79999999385</v>
      </c>
      <c r="BP201" s="121">
        <v>225455.81</v>
      </c>
      <c r="BQ201" s="121">
        <v>93492.57</v>
      </c>
      <c r="BR201" s="121">
        <v>213016.23</v>
      </c>
      <c r="BS201" s="121">
        <v>4895</v>
      </c>
      <c r="BT201" s="121">
        <v>0</v>
      </c>
      <c r="BU201" s="121">
        <v>495337.35</v>
      </c>
      <c r="BV201" s="121">
        <v>71309.75</v>
      </c>
      <c r="BW201" s="121">
        <v>88303.89</v>
      </c>
      <c r="BX201" s="121">
        <v>252003.67</v>
      </c>
      <c r="BY201" s="121">
        <v>628003.09</v>
      </c>
      <c r="BZ201" s="121">
        <v>0</v>
      </c>
      <c r="CA201" s="121">
        <v>0</v>
      </c>
      <c r="CB201" s="121">
        <v>0</v>
      </c>
      <c r="CC201" s="121">
        <v>0</v>
      </c>
      <c r="CD201" s="121">
        <v>24910.94</v>
      </c>
      <c r="CE201" s="121">
        <v>48495.14</v>
      </c>
      <c r="CF201" s="121">
        <v>0</v>
      </c>
      <c r="CG201" s="121">
        <v>0</v>
      </c>
      <c r="CH201" s="121">
        <v>0</v>
      </c>
      <c r="CI201" s="121">
        <v>0</v>
      </c>
      <c r="CJ201" s="121">
        <v>0</v>
      </c>
      <c r="CK201" s="121"/>
      <c r="CL201" s="121">
        <v>4979718.9500000011</v>
      </c>
      <c r="CM201" s="121"/>
      <c r="CN201" s="121">
        <v>98994.83</v>
      </c>
      <c r="CO201" s="121">
        <v>0</v>
      </c>
      <c r="CP201" s="121">
        <v>0</v>
      </c>
      <c r="CQ201" s="121">
        <v>0</v>
      </c>
      <c r="CR201" s="118"/>
      <c r="CS201" s="33">
        <v>4979718.9500000011</v>
      </c>
      <c r="CT201" s="33">
        <v>98994.83</v>
      </c>
      <c r="CU201" s="65">
        <v>4979718.95</v>
      </c>
      <c r="CV201" s="65">
        <v>98994.83</v>
      </c>
      <c r="CW201" s="65">
        <v>0</v>
      </c>
      <c r="CX201" s="33">
        <v>0</v>
      </c>
      <c r="CY201" s="33">
        <v>5078713.78</v>
      </c>
      <c r="CZ201" s="66">
        <v>48495.14</v>
      </c>
      <c r="DA201" s="33">
        <v>48495.14</v>
      </c>
      <c r="DB201" s="33">
        <v>0</v>
      </c>
      <c r="DC201" s="33">
        <v>-0.35000000614672899</v>
      </c>
      <c r="DF201" s="33">
        <v>1.0040821507573128E-9</v>
      </c>
      <c r="DI201" s="33">
        <v>4979718.9500000011</v>
      </c>
      <c r="DJ201" s="33">
        <v>98994.83</v>
      </c>
      <c r="DK201" s="65">
        <v>4979718.95</v>
      </c>
      <c r="DL201" s="65">
        <v>98994.83</v>
      </c>
      <c r="DQ201" s="115">
        <v>3304223</v>
      </c>
      <c r="DS201" s="33">
        <v>0</v>
      </c>
      <c r="DT201" s="33">
        <v>10648415.019999996</v>
      </c>
      <c r="DU201" s="33">
        <v>10828242.719999995</v>
      </c>
      <c r="DV201" s="33">
        <v>-179827.69999999925</v>
      </c>
      <c r="DW201" s="33">
        <v>73406.080000000002</v>
      </c>
      <c r="DX201" s="33">
        <v>0</v>
      </c>
      <c r="DY201" s="33">
        <v>73406.080000000002</v>
      </c>
    </row>
    <row r="202" spans="2:129" x14ac:dyDescent="0.35">
      <c r="B202" s="87">
        <v>4245</v>
      </c>
      <c r="C202" s="115">
        <v>3304245</v>
      </c>
      <c r="D202" s="116" t="s">
        <v>521</v>
      </c>
      <c r="E202" s="116" t="s">
        <v>522</v>
      </c>
      <c r="F202" s="117"/>
      <c r="G202" s="118"/>
      <c r="H202" s="115"/>
      <c r="I202" s="115"/>
      <c r="J202" s="115"/>
      <c r="K202" s="115"/>
      <c r="L202" s="115"/>
      <c r="M202" s="115"/>
      <c r="N202" s="115"/>
      <c r="O202" s="115"/>
      <c r="P202" s="115"/>
      <c r="Q202" s="115"/>
      <c r="R202" s="115"/>
      <c r="S202" s="119"/>
      <c r="T202" s="119"/>
      <c r="U202" s="119"/>
      <c r="V202" s="119"/>
      <c r="W202" s="119"/>
      <c r="X202" s="119"/>
      <c r="Y202" s="120">
        <v>4442715.47</v>
      </c>
      <c r="Z202" s="120"/>
      <c r="AA202" s="120">
        <v>29264.69</v>
      </c>
      <c r="AB202" s="121">
        <v>9555015.9800000004</v>
      </c>
      <c r="AC202" s="121">
        <v>1421250</v>
      </c>
      <c r="AD202" s="121">
        <v>114812.61</v>
      </c>
      <c r="AE202" s="121">
        <v>0</v>
      </c>
      <c r="AF202" s="121">
        <v>729675.5</v>
      </c>
      <c r="AG202" s="121">
        <v>10798.51</v>
      </c>
      <c r="AH202" s="121">
        <v>0</v>
      </c>
      <c r="AI202" s="121">
        <v>0</v>
      </c>
      <c r="AJ202" s="121">
        <v>546303.00000000116</v>
      </c>
      <c r="AK202" s="121">
        <v>6580</v>
      </c>
      <c r="AL202" s="121">
        <v>0</v>
      </c>
      <c r="AM202" s="121">
        <v>0</v>
      </c>
      <c r="AN202" s="121">
        <v>24669.45</v>
      </c>
      <c r="AO202" s="121">
        <v>0</v>
      </c>
      <c r="AP202" s="121">
        <v>0</v>
      </c>
      <c r="AQ202" s="121">
        <v>0</v>
      </c>
      <c r="AR202" s="121">
        <v>0</v>
      </c>
      <c r="AS202" s="121">
        <v>0</v>
      </c>
      <c r="AT202" s="121">
        <v>0</v>
      </c>
      <c r="AU202" s="121">
        <v>159821.63</v>
      </c>
      <c r="AV202" s="121">
        <v>0</v>
      </c>
      <c r="AW202" s="121">
        <v>5888005.75</v>
      </c>
      <c r="AX202" s="121">
        <v>0</v>
      </c>
      <c r="AY202" s="121">
        <v>1544234.35</v>
      </c>
      <c r="AZ202" s="121">
        <v>430409.49</v>
      </c>
      <c r="BA202" s="121">
        <v>701823.02</v>
      </c>
      <c r="BB202" s="121">
        <v>0</v>
      </c>
      <c r="BC202" s="121">
        <v>151692.39000000001</v>
      </c>
      <c r="BD202" s="121">
        <v>69414.22</v>
      </c>
      <c r="BE202" s="121">
        <v>23484.54</v>
      </c>
      <c r="BF202" s="121">
        <v>0</v>
      </c>
      <c r="BG202" s="121">
        <v>0</v>
      </c>
      <c r="BH202" s="121">
        <v>1279866.23</v>
      </c>
      <c r="BI202" s="121">
        <v>36152.35</v>
      </c>
      <c r="BJ202" s="121">
        <v>18570.23</v>
      </c>
      <c r="BK202" s="121">
        <v>20862.650000000001</v>
      </c>
      <c r="BL202" s="121">
        <v>376816.92</v>
      </c>
      <c r="BM202" s="121">
        <v>195018.23999999999</v>
      </c>
      <c r="BN202" s="121">
        <v>53278.239999999998</v>
      </c>
      <c r="BO202" s="121">
        <v>560372.32999999996</v>
      </c>
      <c r="BP202" s="121">
        <v>204888.49</v>
      </c>
      <c r="BQ202" s="121">
        <v>185590.56</v>
      </c>
      <c r="BR202" s="121">
        <v>174219.99</v>
      </c>
      <c r="BS202" s="121">
        <v>4895</v>
      </c>
      <c r="BT202" s="121">
        <v>5415.5</v>
      </c>
      <c r="BU202" s="121">
        <v>239446.37</v>
      </c>
      <c r="BV202" s="121">
        <v>230481.06</v>
      </c>
      <c r="BW202" s="121">
        <v>206431.12</v>
      </c>
      <c r="BX202" s="121">
        <v>138697.97</v>
      </c>
      <c r="BY202" s="121">
        <v>0</v>
      </c>
      <c r="BZ202" s="121">
        <v>0</v>
      </c>
      <c r="CA202" s="121">
        <v>0</v>
      </c>
      <c r="CB202" s="121">
        <v>0</v>
      </c>
      <c r="CC202" s="121">
        <v>0</v>
      </c>
      <c r="CD202" s="121">
        <v>29709.06</v>
      </c>
      <c r="CE202" s="121">
        <v>55049.75</v>
      </c>
      <c r="CF202" s="121">
        <v>0</v>
      </c>
      <c r="CG202" s="121">
        <v>0</v>
      </c>
      <c r="CH202" s="121">
        <v>0</v>
      </c>
      <c r="CI202" s="121">
        <v>0</v>
      </c>
      <c r="CJ202" s="121">
        <v>0</v>
      </c>
      <c r="CK202" s="121"/>
      <c r="CL202" s="121">
        <v>4271575.1399999997</v>
      </c>
      <c r="CM202" s="121"/>
      <c r="CN202" s="121">
        <v>114023.5</v>
      </c>
      <c r="CO202" s="121">
        <v>0</v>
      </c>
      <c r="CP202" s="121">
        <v>0</v>
      </c>
      <c r="CQ202" s="121">
        <v>0</v>
      </c>
      <c r="CR202" s="118"/>
      <c r="CS202" s="33">
        <v>4271575.1399999997</v>
      </c>
      <c r="CT202" s="33">
        <v>114023.5</v>
      </c>
      <c r="CU202" s="65">
        <v>4271575.1399999997</v>
      </c>
      <c r="CV202" s="65">
        <v>114023.5</v>
      </c>
      <c r="CW202" s="65">
        <v>0</v>
      </c>
      <c r="CX202" s="33">
        <v>0</v>
      </c>
      <c r="CY202" s="33">
        <v>4385598.6399999997</v>
      </c>
      <c r="CZ202" s="66">
        <v>55049.75</v>
      </c>
      <c r="DA202" s="33">
        <v>55049.75</v>
      </c>
      <c r="DB202" s="33">
        <v>0.4699999988079071</v>
      </c>
      <c r="DC202" s="33">
        <v>0</v>
      </c>
      <c r="DF202" s="33">
        <v>0</v>
      </c>
      <c r="DI202" s="33">
        <v>4271575.1399999997</v>
      </c>
      <c r="DJ202" s="33">
        <v>114023.5</v>
      </c>
      <c r="DK202" s="65">
        <v>4271575.1399999997</v>
      </c>
      <c r="DL202" s="65">
        <v>114023.5</v>
      </c>
      <c r="DQ202" s="115">
        <v>3304245</v>
      </c>
      <c r="DS202" s="33">
        <v>0</v>
      </c>
      <c r="DT202" s="33">
        <v>12568926.680000002</v>
      </c>
      <c r="DU202" s="33">
        <v>12740067.010000002</v>
      </c>
      <c r="DV202" s="33">
        <v>-171140.33000000007</v>
      </c>
      <c r="DW202" s="33">
        <v>84758.81</v>
      </c>
      <c r="DX202" s="33">
        <v>0</v>
      </c>
      <c r="DY202" s="33">
        <v>84758.81</v>
      </c>
    </row>
    <row r="203" spans="2:129" x14ac:dyDescent="0.35">
      <c r="B203" s="87">
        <v>4625</v>
      </c>
      <c r="C203" s="115">
        <v>3304625</v>
      </c>
      <c r="D203" s="116" t="s">
        <v>523</v>
      </c>
      <c r="E203" s="116" t="s">
        <v>524</v>
      </c>
      <c r="F203" s="117"/>
      <c r="G203" s="118"/>
      <c r="H203" s="115"/>
      <c r="I203" s="115"/>
      <c r="J203" s="115"/>
      <c r="K203" s="115"/>
      <c r="L203" s="115"/>
      <c r="M203" s="115"/>
      <c r="N203" s="115"/>
      <c r="O203" s="115"/>
      <c r="P203" s="115"/>
      <c r="Q203" s="115"/>
      <c r="R203" s="115"/>
      <c r="S203" s="119"/>
      <c r="T203" s="119"/>
      <c r="U203" s="119"/>
      <c r="V203" s="119"/>
      <c r="W203" s="119"/>
      <c r="X203" s="119"/>
      <c r="Y203" s="120">
        <v>255582.73</v>
      </c>
      <c r="Z203" s="120"/>
      <c r="AA203" s="120">
        <v>0</v>
      </c>
      <c r="AB203" s="121">
        <v>4871123.37</v>
      </c>
      <c r="AC203" s="121">
        <v>0</v>
      </c>
      <c r="AD203" s="121">
        <v>43428.75</v>
      </c>
      <c r="AE203" s="121">
        <v>0</v>
      </c>
      <c r="AF203" s="121">
        <v>360698.25</v>
      </c>
      <c r="AG203" s="121">
        <v>23484.65</v>
      </c>
      <c r="AH203" s="121">
        <v>0</v>
      </c>
      <c r="AI203" s="121">
        <v>0</v>
      </c>
      <c r="AJ203" s="121">
        <v>396439.34999999893</v>
      </c>
      <c r="AK203" s="121">
        <v>0</v>
      </c>
      <c r="AL203" s="121">
        <v>0</v>
      </c>
      <c r="AM203" s="121">
        <v>0</v>
      </c>
      <c r="AN203" s="121">
        <v>4537.1000000000004</v>
      </c>
      <c r="AO203" s="121">
        <v>0</v>
      </c>
      <c r="AP203" s="121">
        <v>0</v>
      </c>
      <c r="AQ203" s="121">
        <v>0</v>
      </c>
      <c r="AR203" s="121">
        <v>0</v>
      </c>
      <c r="AS203" s="121">
        <v>0</v>
      </c>
      <c r="AT203" s="121">
        <v>0</v>
      </c>
      <c r="AU203" s="121">
        <v>78479.62</v>
      </c>
      <c r="AV203" s="121">
        <v>0</v>
      </c>
      <c r="AW203" s="121">
        <v>2937309.57</v>
      </c>
      <c r="AX203" s="121">
        <v>0</v>
      </c>
      <c r="AY203" s="121">
        <v>103986.99</v>
      </c>
      <c r="AZ203" s="121">
        <v>97906.58</v>
      </c>
      <c r="BA203" s="121">
        <v>851273.52</v>
      </c>
      <c r="BB203" s="121">
        <v>0</v>
      </c>
      <c r="BC203" s="121">
        <v>289648.27</v>
      </c>
      <c r="BD203" s="121">
        <v>215389.17</v>
      </c>
      <c r="BE203" s="121">
        <v>0</v>
      </c>
      <c r="BF203" s="121">
        <v>0</v>
      </c>
      <c r="BG203" s="121">
        <v>0</v>
      </c>
      <c r="BH203" s="121">
        <v>1090.19</v>
      </c>
      <c r="BI203" s="121">
        <v>8897.58</v>
      </c>
      <c r="BJ203" s="121">
        <v>0</v>
      </c>
      <c r="BK203" s="121">
        <v>0</v>
      </c>
      <c r="BL203" s="121">
        <v>131090.72</v>
      </c>
      <c r="BM203" s="121">
        <v>5944.31</v>
      </c>
      <c r="BN203" s="121">
        <v>201179.26</v>
      </c>
      <c r="BO203" s="121">
        <v>170988.34</v>
      </c>
      <c r="BP203" s="121">
        <v>0</v>
      </c>
      <c r="BQ203" s="121">
        <v>75877.38</v>
      </c>
      <c r="BR203" s="121">
        <v>420040.57</v>
      </c>
      <c r="BS203" s="121">
        <v>4895</v>
      </c>
      <c r="BT203" s="121">
        <v>0</v>
      </c>
      <c r="BU203" s="121">
        <v>137097.31</v>
      </c>
      <c r="BV203" s="121">
        <v>0</v>
      </c>
      <c r="BW203" s="121">
        <v>53564.69</v>
      </c>
      <c r="BX203" s="121">
        <v>15839.47</v>
      </c>
      <c r="BY203" s="121">
        <v>0</v>
      </c>
      <c r="BZ203" s="121">
        <v>0</v>
      </c>
      <c r="CA203" s="121">
        <v>0</v>
      </c>
      <c r="CB203" s="121">
        <v>0</v>
      </c>
      <c r="CC203" s="121">
        <v>0</v>
      </c>
      <c r="CD203" s="121">
        <v>15838.2</v>
      </c>
      <c r="CE203" s="121">
        <v>0</v>
      </c>
      <c r="CF203" s="121">
        <v>0</v>
      </c>
      <c r="CG203" s="121">
        <v>0</v>
      </c>
      <c r="CH203" s="121">
        <v>0</v>
      </c>
      <c r="CI203" s="121">
        <v>15838.2</v>
      </c>
      <c r="CJ203" s="121">
        <v>0</v>
      </c>
      <c r="CK203" s="121">
        <v>0</v>
      </c>
      <c r="CL203" s="121">
        <v>311754.89999999991</v>
      </c>
      <c r="CM203" s="121"/>
      <c r="CN203" s="121">
        <v>0</v>
      </c>
      <c r="CO203" s="121">
        <v>0</v>
      </c>
      <c r="CP203" s="121">
        <v>0</v>
      </c>
      <c r="CQ203" s="121">
        <v>0</v>
      </c>
      <c r="CR203" s="118"/>
      <c r="CS203" s="33">
        <v>311754.89999999991</v>
      </c>
      <c r="CT203" s="33">
        <v>0</v>
      </c>
      <c r="CU203" s="65">
        <v>311754.90000000002</v>
      </c>
      <c r="CV203" s="65">
        <v>0</v>
      </c>
      <c r="CW203" s="65">
        <v>0</v>
      </c>
      <c r="CX203" s="33">
        <v>0</v>
      </c>
      <c r="CY203" s="33">
        <v>311754.90000000002</v>
      </c>
      <c r="CZ203" s="66">
        <v>0</v>
      </c>
      <c r="DA203" s="33">
        <v>0</v>
      </c>
      <c r="DB203" s="33">
        <v>3.0000001075677574E-2</v>
      </c>
      <c r="DC203" s="33">
        <v>0</v>
      </c>
      <c r="DF203" s="33">
        <v>-1.1641532182693481E-10</v>
      </c>
      <c r="DI203" s="33">
        <v>311754.89999999991</v>
      </c>
      <c r="DJ203" s="33">
        <v>0</v>
      </c>
      <c r="DK203" s="65">
        <v>311754.90000000002</v>
      </c>
      <c r="DL203" s="65">
        <v>0</v>
      </c>
      <c r="DQ203" s="115">
        <v>3304625</v>
      </c>
      <c r="DS203" s="33">
        <v>0</v>
      </c>
      <c r="DT203" s="33">
        <v>5778191.0899999989</v>
      </c>
      <c r="DU203" s="33">
        <v>5722018.919999999</v>
      </c>
      <c r="DV203" s="33">
        <v>56172.169999999925</v>
      </c>
      <c r="DW203" s="33">
        <v>15838.2</v>
      </c>
      <c r="DX203" s="33">
        <v>15838.2</v>
      </c>
      <c r="DY203" s="33">
        <v>0</v>
      </c>
    </row>
    <row r="204" spans="2:129" x14ac:dyDescent="0.35">
      <c r="B204" s="87">
        <v>4801</v>
      </c>
      <c r="C204" s="115">
        <v>3304801</v>
      </c>
      <c r="D204" s="116" t="s">
        <v>525</v>
      </c>
      <c r="E204" s="116" t="s">
        <v>526</v>
      </c>
      <c r="F204" s="117"/>
      <c r="G204" s="118"/>
      <c r="H204" s="115"/>
      <c r="I204" s="115"/>
      <c r="J204" s="115"/>
      <c r="K204" s="115"/>
      <c r="L204" s="115"/>
      <c r="M204" s="115"/>
      <c r="N204" s="115"/>
      <c r="O204" s="115"/>
      <c r="P204" s="115"/>
      <c r="Q204" s="115"/>
      <c r="R204" s="115"/>
      <c r="S204" s="119"/>
      <c r="T204" s="119"/>
      <c r="U204" s="119"/>
      <c r="V204" s="119"/>
      <c r="W204" s="119"/>
      <c r="X204" s="119"/>
      <c r="Y204" s="120">
        <v>364761.34</v>
      </c>
      <c r="Z204" s="120"/>
      <c r="AA204" s="120">
        <v>0</v>
      </c>
      <c r="AB204" s="121">
        <v>5678226.21</v>
      </c>
      <c r="AC204" s="121">
        <v>0</v>
      </c>
      <c r="AD204" s="121">
        <v>106868.51</v>
      </c>
      <c r="AE204" s="121">
        <v>0</v>
      </c>
      <c r="AF204" s="121">
        <v>406726</v>
      </c>
      <c r="AG204" s="121">
        <v>9770.7900000000009</v>
      </c>
      <c r="AH204" s="121">
        <v>0</v>
      </c>
      <c r="AI204" s="121">
        <v>0</v>
      </c>
      <c r="AJ204" s="121">
        <v>275728.60000000015</v>
      </c>
      <c r="AK204" s="121">
        <v>92054.53</v>
      </c>
      <c r="AL204" s="121">
        <v>0</v>
      </c>
      <c r="AM204" s="121">
        <v>0</v>
      </c>
      <c r="AN204" s="121">
        <v>37505.03</v>
      </c>
      <c r="AO204" s="121">
        <v>0</v>
      </c>
      <c r="AP204" s="121">
        <v>0</v>
      </c>
      <c r="AQ204" s="121">
        <v>0</v>
      </c>
      <c r="AR204" s="121">
        <v>0</v>
      </c>
      <c r="AS204" s="121">
        <v>0</v>
      </c>
      <c r="AT204" s="121">
        <v>0</v>
      </c>
      <c r="AU204" s="121">
        <v>148544.1</v>
      </c>
      <c r="AV204" s="121">
        <v>0</v>
      </c>
      <c r="AW204" s="121">
        <v>3462352.93</v>
      </c>
      <c r="AX204" s="121">
        <v>0</v>
      </c>
      <c r="AY204" s="121">
        <v>633741.89</v>
      </c>
      <c r="AZ204" s="121">
        <v>151225.32999999999</v>
      </c>
      <c r="BA204" s="121">
        <v>276048.11</v>
      </c>
      <c r="BB204" s="121">
        <v>128449.08</v>
      </c>
      <c r="BC204" s="121">
        <v>34878.449999999997</v>
      </c>
      <c r="BD204" s="121">
        <v>74731.199999999997</v>
      </c>
      <c r="BE204" s="121">
        <v>35268.129999999997</v>
      </c>
      <c r="BF204" s="121">
        <v>0</v>
      </c>
      <c r="BG204" s="121">
        <v>0</v>
      </c>
      <c r="BH204" s="121">
        <v>449850.73</v>
      </c>
      <c r="BI204" s="121">
        <v>10080</v>
      </c>
      <c r="BJ204" s="121">
        <v>516.03</v>
      </c>
      <c r="BK204" s="121">
        <v>16225.89</v>
      </c>
      <c r="BL204" s="121">
        <v>217619.26</v>
      </c>
      <c r="BM204" s="121">
        <v>13481.47</v>
      </c>
      <c r="BN204" s="121">
        <v>9368.31</v>
      </c>
      <c r="BO204" s="121">
        <v>317888.89</v>
      </c>
      <c r="BP204" s="121">
        <v>70950.45</v>
      </c>
      <c r="BQ204" s="121">
        <v>88860.82</v>
      </c>
      <c r="BR204" s="121">
        <v>194663.17</v>
      </c>
      <c r="BS204" s="121">
        <v>4895</v>
      </c>
      <c r="BT204" s="121">
        <v>0</v>
      </c>
      <c r="BU204" s="121">
        <v>108657.66</v>
      </c>
      <c r="BV204" s="121">
        <v>115281.02</v>
      </c>
      <c r="BW204" s="121">
        <v>121774.85</v>
      </c>
      <c r="BX204" s="121">
        <v>164676.29999999999</v>
      </c>
      <c r="BY204" s="121">
        <v>0</v>
      </c>
      <c r="BZ204" s="121">
        <v>0</v>
      </c>
      <c r="CA204" s="121">
        <v>0</v>
      </c>
      <c r="CB204" s="121">
        <v>0</v>
      </c>
      <c r="CC204" s="121">
        <v>0</v>
      </c>
      <c r="CD204" s="121">
        <v>17438.96</v>
      </c>
      <c r="CE204" s="121">
        <v>0</v>
      </c>
      <c r="CF204" s="121">
        <v>0</v>
      </c>
      <c r="CG204" s="121">
        <v>0</v>
      </c>
      <c r="CH204" s="121">
        <v>0</v>
      </c>
      <c r="CI204" s="121">
        <v>17438.96</v>
      </c>
      <c r="CJ204" s="121">
        <v>0</v>
      </c>
      <c r="CK204" s="121">
        <v>0</v>
      </c>
      <c r="CL204" s="121">
        <v>418700.14000000077</v>
      </c>
      <c r="CM204" s="121"/>
      <c r="CN204" s="121">
        <v>0</v>
      </c>
      <c r="CO204" s="121">
        <v>0</v>
      </c>
      <c r="CP204" s="121">
        <v>0</v>
      </c>
      <c r="CQ204" s="121">
        <v>0</v>
      </c>
      <c r="CR204" s="118"/>
      <c r="CS204" s="33">
        <v>418700.14000000077</v>
      </c>
      <c r="CT204" s="33">
        <v>0</v>
      </c>
      <c r="CU204" s="65">
        <v>418700.14</v>
      </c>
      <c r="CV204" s="65">
        <v>0</v>
      </c>
      <c r="CW204" s="65">
        <v>7.5669959187507629E-10</v>
      </c>
      <c r="CX204" s="33">
        <v>0</v>
      </c>
      <c r="CY204" s="33">
        <v>418700.14</v>
      </c>
      <c r="CZ204" s="66">
        <v>0</v>
      </c>
      <c r="DA204" s="33">
        <v>0</v>
      </c>
      <c r="DB204" s="33">
        <v>3.999999986262992E-2</v>
      </c>
      <c r="DC204" s="33">
        <v>0</v>
      </c>
      <c r="DF204" s="33">
        <v>7.5669959187507629E-10</v>
      </c>
      <c r="DI204" s="33">
        <v>418700.14000000077</v>
      </c>
      <c r="DJ204" s="33">
        <v>0</v>
      </c>
      <c r="DK204" s="65">
        <v>418700.14</v>
      </c>
      <c r="DL204" s="65">
        <v>0</v>
      </c>
      <c r="DQ204" s="115">
        <v>3304801</v>
      </c>
      <c r="DS204" s="33">
        <v>0</v>
      </c>
      <c r="DT204" s="33">
        <v>6755423.7700000005</v>
      </c>
      <c r="DU204" s="33">
        <v>6701484.9699999997</v>
      </c>
      <c r="DV204" s="33">
        <v>53938.800000000745</v>
      </c>
      <c r="DW204" s="33">
        <v>17438.96</v>
      </c>
      <c r="DX204" s="33">
        <v>17438.96</v>
      </c>
      <c r="DY204" s="33">
        <v>0</v>
      </c>
    </row>
    <row r="205" spans="2:129" x14ac:dyDescent="0.35">
      <c r="B205" s="87">
        <v>5416</v>
      </c>
      <c r="C205" s="115">
        <v>3305416</v>
      </c>
      <c r="D205" s="116" t="s">
        <v>527</v>
      </c>
      <c r="E205" s="116" t="s">
        <v>528</v>
      </c>
      <c r="F205" s="117"/>
      <c r="G205" s="118"/>
      <c r="H205" s="115"/>
      <c r="I205" s="115"/>
      <c r="J205" s="115"/>
      <c r="K205" s="115"/>
      <c r="L205" s="115"/>
      <c r="M205" s="115"/>
      <c r="N205" s="115"/>
      <c r="O205" s="115"/>
      <c r="P205" s="115"/>
      <c r="Q205" s="115"/>
      <c r="R205" s="115"/>
      <c r="S205" s="119"/>
      <c r="T205" s="119"/>
      <c r="U205" s="119"/>
      <c r="V205" s="119"/>
      <c r="W205" s="119"/>
      <c r="X205" s="119"/>
      <c r="Y205" s="120">
        <v>720696.81</v>
      </c>
      <c r="Z205" s="120"/>
      <c r="AA205" s="120">
        <v>-5382.7</v>
      </c>
      <c r="AB205" s="121">
        <v>8749920.3800000008</v>
      </c>
      <c r="AC205" s="121">
        <v>453003.67</v>
      </c>
      <c r="AD205" s="121">
        <v>90733.39</v>
      </c>
      <c r="AE205" s="121">
        <v>0</v>
      </c>
      <c r="AF205" s="121">
        <v>632795</v>
      </c>
      <c r="AG205" s="121">
        <v>26569.3</v>
      </c>
      <c r="AH205" s="121">
        <v>0</v>
      </c>
      <c r="AI205" s="121">
        <v>0</v>
      </c>
      <c r="AJ205" s="121">
        <v>127481.22999999767</v>
      </c>
      <c r="AK205" s="121">
        <v>0</v>
      </c>
      <c r="AL205" s="121">
        <v>42984</v>
      </c>
      <c r="AM205" s="121">
        <v>0</v>
      </c>
      <c r="AN205" s="121">
        <v>30661.61</v>
      </c>
      <c r="AO205" s="121">
        <v>2369.98</v>
      </c>
      <c r="AP205" s="121">
        <v>0</v>
      </c>
      <c r="AQ205" s="121">
        <v>0</v>
      </c>
      <c r="AR205" s="121">
        <v>0</v>
      </c>
      <c r="AS205" s="121">
        <v>0</v>
      </c>
      <c r="AT205" s="121">
        <v>0</v>
      </c>
      <c r="AU205" s="121">
        <v>135978</v>
      </c>
      <c r="AV205" s="121">
        <v>0</v>
      </c>
      <c r="AW205" s="121">
        <v>5513770.0899999999</v>
      </c>
      <c r="AX205" s="121">
        <v>0</v>
      </c>
      <c r="AY205" s="121">
        <v>1367023.34</v>
      </c>
      <c r="AZ205" s="121">
        <v>283628.09000000003</v>
      </c>
      <c r="BA205" s="121">
        <v>801336.72</v>
      </c>
      <c r="BB205" s="121">
        <v>0</v>
      </c>
      <c r="BC205" s="121">
        <v>14506</v>
      </c>
      <c r="BD205" s="121">
        <v>11186.1</v>
      </c>
      <c r="BE205" s="121">
        <v>8067.96</v>
      </c>
      <c r="BF205" s="121">
        <v>0</v>
      </c>
      <c r="BG205" s="121">
        <v>0</v>
      </c>
      <c r="BH205" s="121">
        <v>146859.5</v>
      </c>
      <c r="BI205" s="121">
        <v>5870.25</v>
      </c>
      <c r="BJ205" s="121">
        <v>142067.21</v>
      </c>
      <c r="BK205" s="121">
        <v>16095.71</v>
      </c>
      <c r="BL205" s="121">
        <v>276116.15000000002</v>
      </c>
      <c r="BM205" s="121">
        <v>22657.56</v>
      </c>
      <c r="BN205" s="121">
        <v>54592.160000000003</v>
      </c>
      <c r="BO205" s="121">
        <v>197331.86</v>
      </c>
      <c r="BP205" s="121">
        <v>205813.48</v>
      </c>
      <c r="BQ205" s="121">
        <v>236753.79</v>
      </c>
      <c r="BR205" s="121">
        <v>538716.85</v>
      </c>
      <c r="BS205" s="121">
        <v>4895</v>
      </c>
      <c r="BT205" s="121">
        <v>155017.21</v>
      </c>
      <c r="BU205" s="121">
        <v>92290.49</v>
      </c>
      <c r="BV205" s="121">
        <v>205716.6</v>
      </c>
      <c r="BW205" s="121">
        <v>0</v>
      </c>
      <c r="BX205" s="121">
        <v>312345.21999999997</v>
      </c>
      <c r="BY205" s="121">
        <v>0</v>
      </c>
      <c r="BZ205" s="121">
        <v>0</v>
      </c>
      <c r="CA205" s="121">
        <v>0</v>
      </c>
      <c r="CB205" s="121">
        <v>0</v>
      </c>
      <c r="CC205" s="121">
        <v>0</v>
      </c>
      <c r="CD205" s="121">
        <v>24902.5</v>
      </c>
      <c r="CE205" s="121">
        <v>46378.81</v>
      </c>
      <c r="CF205" s="121">
        <v>0</v>
      </c>
      <c r="CG205" s="121">
        <v>0</v>
      </c>
      <c r="CH205" s="121">
        <v>0</v>
      </c>
      <c r="CI205" s="121">
        <v>0</v>
      </c>
      <c r="CJ205" s="121">
        <v>0</v>
      </c>
      <c r="CK205" s="121"/>
      <c r="CL205" s="121">
        <v>400536.03000000073</v>
      </c>
      <c r="CM205" s="121"/>
      <c r="CN205" s="121">
        <v>65898.61</v>
      </c>
      <c r="CO205" s="121">
        <v>0</v>
      </c>
      <c r="CP205" s="121">
        <v>0</v>
      </c>
      <c r="CQ205" s="121">
        <v>0</v>
      </c>
      <c r="CR205" s="118"/>
      <c r="CS205" s="33">
        <v>400536.03000000073</v>
      </c>
      <c r="CT205" s="33">
        <v>65898.61</v>
      </c>
      <c r="CU205" s="65">
        <v>400536.03</v>
      </c>
      <c r="CV205" s="65">
        <v>65898.61</v>
      </c>
      <c r="CW205" s="65">
        <v>6.9849193096160889E-10</v>
      </c>
      <c r="CX205" s="33">
        <v>0</v>
      </c>
      <c r="CY205" s="33">
        <v>466434.64</v>
      </c>
      <c r="CZ205" s="66">
        <v>46378.81</v>
      </c>
      <c r="DA205" s="33">
        <v>46378.81</v>
      </c>
      <c r="DB205" s="33">
        <v>1.0000002337619662E-2</v>
      </c>
      <c r="DC205" s="33">
        <v>0</v>
      </c>
      <c r="DF205" s="33">
        <v>6.8394001573324203E-10</v>
      </c>
      <c r="DI205" s="33">
        <v>400536.03000000073</v>
      </c>
      <c r="DJ205" s="33">
        <v>65898.61</v>
      </c>
      <c r="DK205" s="65">
        <v>400536.03</v>
      </c>
      <c r="DL205" s="65">
        <v>65898.61</v>
      </c>
      <c r="DQ205" s="115">
        <v>3305416</v>
      </c>
      <c r="DS205" s="33">
        <v>0</v>
      </c>
      <c r="DT205" s="33">
        <v>10292496.560000001</v>
      </c>
      <c r="DU205" s="33">
        <v>10612657.34</v>
      </c>
      <c r="DV205" s="33">
        <v>-320160.77999999933</v>
      </c>
      <c r="DW205" s="33">
        <v>71281.31</v>
      </c>
      <c r="DX205" s="33">
        <v>0</v>
      </c>
      <c r="DY205" s="33">
        <v>71281.31</v>
      </c>
    </row>
    <row r="206" spans="2:129" x14ac:dyDescent="0.35">
      <c r="B206" s="87">
        <v>5949</v>
      </c>
      <c r="C206" s="115">
        <v>3305949</v>
      </c>
      <c r="D206" s="116" t="s">
        <v>529</v>
      </c>
      <c r="E206" s="116" t="s">
        <v>530</v>
      </c>
      <c r="F206" s="117"/>
      <c r="G206" s="118"/>
      <c r="H206" s="115"/>
      <c r="I206" s="115"/>
      <c r="J206" s="115"/>
      <c r="K206" s="115"/>
      <c r="L206" s="115"/>
      <c r="M206" s="115"/>
      <c r="N206" s="115"/>
      <c r="O206" s="115"/>
      <c r="P206" s="115"/>
      <c r="Q206" s="115"/>
      <c r="R206" s="115"/>
      <c r="S206" s="119"/>
      <c r="T206" s="119"/>
      <c r="U206" s="119"/>
      <c r="V206" s="119"/>
      <c r="W206" s="119"/>
      <c r="X206" s="119"/>
      <c r="Y206" s="120">
        <v>600234.44999999995</v>
      </c>
      <c r="Z206" s="120"/>
      <c r="AA206" s="120">
        <v>0</v>
      </c>
      <c r="AB206" s="121">
        <v>3181237.01</v>
      </c>
      <c r="AC206" s="121">
        <v>0</v>
      </c>
      <c r="AD206" s="121">
        <v>73900.23</v>
      </c>
      <c r="AE206" s="121">
        <v>0</v>
      </c>
      <c r="AF206" s="121">
        <v>318265.5</v>
      </c>
      <c r="AG206" s="121">
        <v>4800</v>
      </c>
      <c r="AH206" s="121">
        <v>0</v>
      </c>
      <c r="AI206" s="121">
        <v>0</v>
      </c>
      <c r="AJ206" s="121">
        <v>107574.98000000123</v>
      </c>
      <c r="AK206" s="121">
        <v>0</v>
      </c>
      <c r="AL206" s="121">
        <v>0</v>
      </c>
      <c r="AM206" s="121">
        <v>0</v>
      </c>
      <c r="AN206" s="121">
        <v>27100.82</v>
      </c>
      <c r="AO206" s="121">
        <v>0</v>
      </c>
      <c r="AP206" s="121">
        <v>0</v>
      </c>
      <c r="AQ206" s="121">
        <v>0</v>
      </c>
      <c r="AR206" s="121">
        <v>0</v>
      </c>
      <c r="AS206" s="121">
        <v>0</v>
      </c>
      <c r="AT206" s="121">
        <v>0</v>
      </c>
      <c r="AU206" s="121">
        <v>27353.9</v>
      </c>
      <c r="AV206" s="121">
        <v>110533</v>
      </c>
      <c r="AW206" s="121">
        <v>1822261.55</v>
      </c>
      <c r="AX206" s="121">
        <v>0</v>
      </c>
      <c r="AY206" s="121">
        <v>295946.71000000002</v>
      </c>
      <c r="AZ206" s="121">
        <v>33970.300000000003</v>
      </c>
      <c r="BA206" s="121">
        <v>398649.74</v>
      </c>
      <c r="BB206" s="121">
        <v>0</v>
      </c>
      <c r="BC206" s="121">
        <v>74586.92</v>
      </c>
      <c r="BD206" s="121">
        <v>312.88</v>
      </c>
      <c r="BE206" s="121">
        <v>1585.99</v>
      </c>
      <c r="BF206" s="121">
        <v>0</v>
      </c>
      <c r="BG206" s="121">
        <v>0</v>
      </c>
      <c r="BH206" s="121">
        <v>29198.47</v>
      </c>
      <c r="BI206" s="121">
        <v>12828.67</v>
      </c>
      <c r="BJ206" s="121">
        <v>51298.82</v>
      </c>
      <c r="BK206" s="121">
        <v>13622.89</v>
      </c>
      <c r="BL206" s="121">
        <v>115656.02</v>
      </c>
      <c r="BM206" s="121">
        <v>0</v>
      </c>
      <c r="BN206" s="121">
        <v>29010.560000000001</v>
      </c>
      <c r="BO206" s="121">
        <v>81911.02</v>
      </c>
      <c r="BP206" s="121">
        <v>6901.89</v>
      </c>
      <c r="BQ206" s="121">
        <v>0</v>
      </c>
      <c r="BR206" s="121">
        <v>80456.81</v>
      </c>
      <c r="BS206" s="121">
        <v>17853</v>
      </c>
      <c r="BT206" s="121">
        <v>16560</v>
      </c>
      <c r="BU206" s="121">
        <v>200308.58</v>
      </c>
      <c r="BV206" s="121">
        <v>110728.24</v>
      </c>
      <c r="BW206" s="121">
        <v>8805.6</v>
      </c>
      <c r="BX206" s="121">
        <v>174623.86</v>
      </c>
      <c r="BY206" s="121">
        <v>0</v>
      </c>
      <c r="BZ206" s="121">
        <v>0</v>
      </c>
      <c r="CA206" s="121">
        <v>0</v>
      </c>
      <c r="CB206" s="121">
        <v>0</v>
      </c>
      <c r="CC206" s="121">
        <v>0</v>
      </c>
      <c r="CD206" s="121">
        <v>11065</v>
      </c>
      <c r="CE206" s="121">
        <v>0</v>
      </c>
      <c r="CF206" s="121">
        <v>0</v>
      </c>
      <c r="CG206" s="121">
        <v>0</v>
      </c>
      <c r="CH206" s="121">
        <v>0</v>
      </c>
      <c r="CI206" s="121">
        <v>11065</v>
      </c>
      <c r="CJ206" s="121">
        <v>0</v>
      </c>
      <c r="CK206" s="121">
        <v>0</v>
      </c>
      <c r="CL206" s="121">
        <v>873921.37000000034</v>
      </c>
      <c r="CM206" s="121"/>
      <c r="CN206" s="121">
        <v>0</v>
      </c>
      <c r="CO206" s="121">
        <v>0</v>
      </c>
      <c r="CP206" s="121">
        <v>0</v>
      </c>
      <c r="CQ206" s="121">
        <v>0</v>
      </c>
      <c r="CR206" s="118"/>
      <c r="CS206" s="33">
        <v>873921.37000000034</v>
      </c>
      <c r="CT206" s="33">
        <v>0</v>
      </c>
      <c r="CU206" s="65">
        <v>873921.37</v>
      </c>
      <c r="CV206" s="65">
        <v>0</v>
      </c>
      <c r="CW206" s="65">
        <v>0</v>
      </c>
      <c r="CX206" s="33">
        <v>0</v>
      </c>
      <c r="CY206" s="33">
        <v>873921.37</v>
      </c>
      <c r="CZ206" s="66">
        <v>0</v>
      </c>
      <c r="DA206" s="33">
        <v>0</v>
      </c>
      <c r="DB206" s="33">
        <v>4587.049999998766</v>
      </c>
      <c r="DC206" s="33">
        <v>0</v>
      </c>
      <c r="DF206" s="33">
        <v>3.4924596548080444E-10</v>
      </c>
      <c r="DI206" s="33">
        <v>873921.37000000034</v>
      </c>
      <c r="DJ206" s="33">
        <v>0</v>
      </c>
      <c r="DK206" s="65">
        <v>873921.37</v>
      </c>
      <c r="DL206" s="65">
        <v>0</v>
      </c>
      <c r="DQ206" s="115">
        <v>3305949</v>
      </c>
      <c r="DS206" s="33">
        <v>0</v>
      </c>
      <c r="DT206" s="33">
        <v>3850765.4400000009</v>
      </c>
      <c r="DU206" s="33">
        <v>3577078.5200000005</v>
      </c>
      <c r="DV206" s="33">
        <v>273686.92000000039</v>
      </c>
      <c r="DW206" s="33">
        <v>11065</v>
      </c>
      <c r="DX206" s="33">
        <v>11065</v>
      </c>
      <c r="DY206" s="33">
        <v>0</v>
      </c>
    </row>
    <row r="207" spans="2:129" x14ac:dyDescent="0.35">
      <c r="B207" s="87">
        <v>7012</v>
      </c>
      <c r="C207" s="115">
        <v>3307012</v>
      </c>
      <c r="D207" s="116" t="s">
        <v>531</v>
      </c>
      <c r="E207" s="116" t="s">
        <v>532</v>
      </c>
      <c r="F207" s="117"/>
      <c r="G207" s="118"/>
      <c r="H207" s="115"/>
      <c r="I207" s="115"/>
      <c r="J207" s="115"/>
      <c r="K207" s="115"/>
      <c r="L207" s="115"/>
      <c r="M207" s="115"/>
      <c r="N207" s="115"/>
      <c r="O207" s="115"/>
      <c r="P207" s="115"/>
      <c r="Q207" s="115"/>
      <c r="R207" s="115"/>
      <c r="S207" s="119"/>
      <c r="T207" s="119"/>
      <c r="U207" s="119"/>
      <c r="V207" s="119"/>
      <c r="W207" s="119"/>
      <c r="X207" s="119"/>
      <c r="Y207" s="120">
        <v>9791.34</v>
      </c>
      <c r="Z207" s="120"/>
      <c r="AA207" s="120">
        <v>-9114.24</v>
      </c>
      <c r="AB207" s="121">
        <v>25260.74</v>
      </c>
      <c r="AC207" s="121">
        <v>0</v>
      </c>
      <c r="AD207" s="121">
        <v>1391191.68</v>
      </c>
      <c r="AE207" s="121">
        <v>0</v>
      </c>
      <c r="AF207" s="121">
        <v>55290.5</v>
      </c>
      <c r="AG207" s="121">
        <v>5856.93</v>
      </c>
      <c r="AH207" s="121">
        <v>0</v>
      </c>
      <c r="AI207" s="121">
        <v>0</v>
      </c>
      <c r="AJ207" s="121">
        <v>414467.10000000009</v>
      </c>
      <c r="AK207" s="121">
        <v>0</v>
      </c>
      <c r="AL207" s="121">
        <v>0</v>
      </c>
      <c r="AM207" s="121">
        <v>0</v>
      </c>
      <c r="AN207" s="121">
        <v>0</v>
      </c>
      <c r="AO207" s="121">
        <v>0</v>
      </c>
      <c r="AP207" s="121">
        <v>0</v>
      </c>
      <c r="AQ207" s="121">
        <v>0</v>
      </c>
      <c r="AR207" s="121">
        <v>0</v>
      </c>
      <c r="AS207" s="121">
        <v>0</v>
      </c>
      <c r="AT207" s="121">
        <v>0</v>
      </c>
      <c r="AU207" s="121">
        <v>19800.259999999998</v>
      </c>
      <c r="AV207" s="121">
        <v>20288</v>
      </c>
      <c r="AW207" s="121">
        <v>662324.56999999995</v>
      </c>
      <c r="AX207" s="121">
        <v>0</v>
      </c>
      <c r="AY207" s="121">
        <v>540767.01</v>
      </c>
      <c r="AZ207" s="121">
        <v>0</v>
      </c>
      <c r="BA207" s="121">
        <v>266856.64</v>
      </c>
      <c r="BB207" s="121">
        <v>0</v>
      </c>
      <c r="BC207" s="121">
        <v>31065.919999999998</v>
      </c>
      <c r="BD207" s="121">
        <v>224.36</v>
      </c>
      <c r="BE207" s="121">
        <v>7559</v>
      </c>
      <c r="BF207" s="121">
        <v>0</v>
      </c>
      <c r="BG207" s="121">
        <v>0</v>
      </c>
      <c r="BH207" s="121">
        <v>11795.74</v>
      </c>
      <c r="BI207" s="121">
        <v>3478.74</v>
      </c>
      <c r="BJ207" s="121">
        <v>329.1</v>
      </c>
      <c r="BK207" s="121">
        <v>4252.68</v>
      </c>
      <c r="BL207" s="121">
        <v>37523.019999999997</v>
      </c>
      <c r="BM207" s="121">
        <v>0</v>
      </c>
      <c r="BN207" s="121">
        <v>5635.72</v>
      </c>
      <c r="BO207" s="121">
        <v>383114.41</v>
      </c>
      <c r="BP207" s="121">
        <v>17698.689999999999</v>
      </c>
      <c r="BQ207" s="121">
        <v>1367.4</v>
      </c>
      <c r="BR207" s="121">
        <v>126078.07</v>
      </c>
      <c r="BS207" s="121">
        <v>3331</v>
      </c>
      <c r="BT207" s="121">
        <v>0</v>
      </c>
      <c r="BU207" s="121">
        <v>55996.74</v>
      </c>
      <c r="BV207" s="121">
        <v>53825.13</v>
      </c>
      <c r="BW207" s="121">
        <v>0</v>
      </c>
      <c r="BX207" s="121">
        <v>157420.79</v>
      </c>
      <c r="BY207" s="121">
        <v>0</v>
      </c>
      <c r="BZ207" s="121">
        <v>0</v>
      </c>
      <c r="CA207" s="121">
        <v>0</v>
      </c>
      <c r="CB207" s="121">
        <v>0</v>
      </c>
      <c r="CC207" s="121">
        <v>0</v>
      </c>
      <c r="CD207" s="121">
        <v>6885.63</v>
      </c>
      <c r="CE207" s="121">
        <v>43514.09</v>
      </c>
      <c r="CF207" s="121">
        <v>0</v>
      </c>
      <c r="CG207" s="121">
        <v>0</v>
      </c>
      <c r="CH207" s="121">
        <v>0</v>
      </c>
      <c r="CI207" s="121">
        <v>0</v>
      </c>
      <c r="CJ207" s="121">
        <v>5000</v>
      </c>
      <c r="CK207" s="121"/>
      <c r="CL207" s="121">
        <v>-428698.18</v>
      </c>
      <c r="CM207" s="121"/>
      <c r="CN207" s="121">
        <v>36285.479999999996</v>
      </c>
      <c r="CO207" s="121">
        <v>0</v>
      </c>
      <c r="CP207" s="121">
        <v>0</v>
      </c>
      <c r="CQ207" s="121">
        <v>0</v>
      </c>
      <c r="CR207" s="118"/>
      <c r="CS207" s="33">
        <v>-428698.18</v>
      </c>
      <c r="CT207" s="33">
        <v>36285.479999999996</v>
      </c>
      <c r="CU207" s="65">
        <v>-428698.18</v>
      </c>
      <c r="CV207" s="65">
        <v>36285.480000000003</v>
      </c>
      <c r="CW207" s="65">
        <v>0</v>
      </c>
      <c r="CX207" s="33">
        <v>0</v>
      </c>
      <c r="CY207" s="33">
        <v>-392412.7</v>
      </c>
      <c r="CZ207" s="66">
        <v>32940.57</v>
      </c>
      <c r="DA207" s="33">
        <v>32940.57</v>
      </c>
      <c r="DB207" s="33">
        <v>348185.33999999985</v>
      </c>
      <c r="DC207" s="33">
        <v>0</v>
      </c>
      <c r="DF207" s="33">
        <v>0</v>
      </c>
      <c r="DI207" s="33">
        <v>-428698.18</v>
      </c>
      <c r="DJ207" s="33">
        <v>36285.479999999996</v>
      </c>
      <c r="DK207" s="65">
        <v>-428698.18</v>
      </c>
      <c r="DL207" s="65">
        <v>36285.480000000003</v>
      </c>
      <c r="DQ207" s="115">
        <v>3307012</v>
      </c>
      <c r="DS207" s="33">
        <v>0</v>
      </c>
      <c r="DT207" s="33">
        <v>1932155.21</v>
      </c>
      <c r="DU207" s="33">
        <v>2370644.73</v>
      </c>
      <c r="DV207" s="33">
        <v>-438489.52</v>
      </c>
      <c r="DW207" s="33">
        <v>50399.719999999994</v>
      </c>
      <c r="DX207" s="33">
        <v>5000</v>
      </c>
      <c r="DY207" s="33">
        <v>45399.719999999994</v>
      </c>
    </row>
    <row r="208" spans="2:129" x14ac:dyDescent="0.35">
      <c r="B208" s="87">
        <v>7014</v>
      </c>
      <c r="C208" s="115">
        <v>3307014</v>
      </c>
      <c r="D208" s="116" t="s">
        <v>533</v>
      </c>
      <c r="E208" s="116" t="s">
        <v>534</v>
      </c>
      <c r="F208" s="117"/>
      <c r="G208" s="118"/>
      <c r="H208" s="115"/>
      <c r="I208" s="115"/>
      <c r="J208" s="115"/>
      <c r="K208" s="115"/>
      <c r="L208" s="115"/>
      <c r="M208" s="115"/>
      <c r="N208" s="115"/>
      <c r="O208" s="115"/>
      <c r="P208" s="115"/>
      <c r="Q208" s="115"/>
      <c r="R208" s="115"/>
      <c r="S208" s="119"/>
      <c r="T208" s="119"/>
      <c r="U208" s="119"/>
      <c r="V208" s="119"/>
      <c r="W208" s="119"/>
      <c r="X208" s="119"/>
      <c r="Y208" s="120">
        <v>1367050.76</v>
      </c>
      <c r="Z208" s="120"/>
      <c r="AA208" s="120">
        <v>3579.33</v>
      </c>
      <c r="AB208" s="121">
        <v>70420</v>
      </c>
      <c r="AC208" s="121">
        <v>0</v>
      </c>
      <c r="AD208" s="121">
        <v>6612771.4199999999</v>
      </c>
      <c r="AE208" s="121">
        <v>0</v>
      </c>
      <c r="AF208" s="121">
        <v>135751</v>
      </c>
      <c r="AG208" s="121">
        <v>3656.93</v>
      </c>
      <c r="AH208" s="121">
        <v>0</v>
      </c>
      <c r="AI208" s="121">
        <v>0</v>
      </c>
      <c r="AJ208" s="121">
        <v>510709.31</v>
      </c>
      <c r="AK208" s="121">
        <v>29157.14</v>
      </c>
      <c r="AL208" s="121">
        <v>0</v>
      </c>
      <c r="AM208" s="121">
        <v>0</v>
      </c>
      <c r="AN208" s="121">
        <v>0</v>
      </c>
      <c r="AO208" s="121">
        <v>103.8</v>
      </c>
      <c r="AP208" s="121">
        <v>0</v>
      </c>
      <c r="AQ208" s="121">
        <v>0</v>
      </c>
      <c r="AR208" s="121">
        <v>0</v>
      </c>
      <c r="AS208" s="121">
        <v>0</v>
      </c>
      <c r="AT208" s="121">
        <v>0</v>
      </c>
      <c r="AU208" s="121">
        <v>92188.31</v>
      </c>
      <c r="AV208" s="121">
        <v>30651</v>
      </c>
      <c r="AW208" s="121">
        <v>2094634.15</v>
      </c>
      <c r="AX208" s="121">
        <v>0</v>
      </c>
      <c r="AY208" s="121">
        <v>2384014.21</v>
      </c>
      <c r="AZ208" s="121">
        <v>26538.48</v>
      </c>
      <c r="BA208" s="121">
        <v>326930.92</v>
      </c>
      <c r="BB208" s="121">
        <v>0</v>
      </c>
      <c r="BC208" s="121">
        <v>77031.19</v>
      </c>
      <c r="BD208" s="121">
        <v>18734.62</v>
      </c>
      <c r="BE208" s="121">
        <v>65209.67</v>
      </c>
      <c r="BF208" s="121">
        <v>0</v>
      </c>
      <c r="BG208" s="121">
        <v>0</v>
      </c>
      <c r="BH208" s="121">
        <v>109532.3</v>
      </c>
      <c r="BI208" s="121">
        <v>5516.06</v>
      </c>
      <c r="BJ208" s="121">
        <v>128959.81</v>
      </c>
      <c r="BK208" s="121">
        <v>22958.47</v>
      </c>
      <c r="BL208" s="121">
        <v>161037.53</v>
      </c>
      <c r="BM208" s="121">
        <v>0</v>
      </c>
      <c r="BN208" s="121">
        <v>26301.439999999999</v>
      </c>
      <c r="BO208" s="121">
        <v>109853.66999999885</v>
      </c>
      <c r="BP208" s="121">
        <v>36680.65</v>
      </c>
      <c r="BQ208" s="121">
        <v>1010.2</v>
      </c>
      <c r="BR208" s="121">
        <v>14822.38</v>
      </c>
      <c r="BS208" s="121">
        <v>4895</v>
      </c>
      <c r="BT208" s="121">
        <v>0</v>
      </c>
      <c r="BU208" s="121">
        <v>150336.04999999999</v>
      </c>
      <c r="BV208" s="121">
        <v>1452259.93</v>
      </c>
      <c r="BW208" s="121">
        <v>131743.88</v>
      </c>
      <c r="BX208" s="121">
        <v>262062.01</v>
      </c>
      <c r="BY208" s="121">
        <v>0</v>
      </c>
      <c r="BZ208" s="121">
        <v>0</v>
      </c>
      <c r="CA208" s="121">
        <v>0</v>
      </c>
      <c r="CB208" s="121">
        <v>0</v>
      </c>
      <c r="CC208" s="121">
        <v>0</v>
      </c>
      <c r="CD208" s="121">
        <v>16757.5</v>
      </c>
      <c r="CE208" s="121">
        <v>0</v>
      </c>
      <c r="CF208" s="121">
        <v>0</v>
      </c>
      <c r="CG208" s="121">
        <v>0</v>
      </c>
      <c r="CH208" s="121">
        <v>0</v>
      </c>
      <c r="CI208" s="121">
        <v>0</v>
      </c>
      <c r="CJ208" s="121">
        <v>0</v>
      </c>
      <c r="CK208" s="121">
        <v>0</v>
      </c>
      <c r="CL208" s="121">
        <v>1241397.05</v>
      </c>
      <c r="CM208" s="121"/>
      <c r="CN208" s="121">
        <v>20336.830000000002</v>
      </c>
      <c r="CO208" s="121">
        <v>0</v>
      </c>
      <c r="CP208" s="121">
        <v>0</v>
      </c>
      <c r="CQ208" s="121">
        <v>0</v>
      </c>
      <c r="CR208" s="118"/>
      <c r="CS208" s="33">
        <v>1241397.05</v>
      </c>
      <c r="CT208" s="33">
        <v>20336.830000000002</v>
      </c>
      <c r="CU208" s="65">
        <v>1241397.05</v>
      </c>
      <c r="CV208" s="65">
        <v>20336.830000000002</v>
      </c>
      <c r="CW208" s="65">
        <v>0</v>
      </c>
      <c r="CX208" s="33">
        <v>0</v>
      </c>
      <c r="CY208" s="33">
        <v>1261733.8800000001</v>
      </c>
      <c r="CZ208" s="66">
        <v>0</v>
      </c>
      <c r="DA208" s="33">
        <v>0</v>
      </c>
      <c r="DB208" s="33">
        <v>0</v>
      </c>
      <c r="DC208" s="33">
        <v>-0.24000000115483999</v>
      </c>
      <c r="DF208" s="33">
        <v>7.2759576141834259E-11</v>
      </c>
      <c r="DI208" s="33">
        <v>1241397.05</v>
      </c>
      <c r="DJ208" s="33">
        <v>20336.830000000002</v>
      </c>
      <c r="DK208" s="65">
        <v>1241397.05</v>
      </c>
      <c r="DL208" s="65">
        <v>20336.830000000002</v>
      </c>
      <c r="DQ208" s="115">
        <v>3307014</v>
      </c>
      <c r="DS208" s="33">
        <v>0</v>
      </c>
      <c r="DT208" s="33">
        <v>7485408.9099999983</v>
      </c>
      <c r="DU208" s="33">
        <v>7611062.6199999982</v>
      </c>
      <c r="DV208" s="33">
        <v>-125653.70999999996</v>
      </c>
      <c r="DW208" s="33">
        <v>16757.5</v>
      </c>
      <c r="DX208" s="33">
        <v>0</v>
      </c>
      <c r="DY208" s="33">
        <v>16757.5</v>
      </c>
    </row>
    <row r="209" spans="2:129" x14ac:dyDescent="0.35">
      <c r="B209" s="87">
        <v>7016</v>
      </c>
      <c r="C209" s="115">
        <v>3307016</v>
      </c>
      <c r="D209" s="116" t="s">
        <v>535</v>
      </c>
      <c r="E209" s="116" t="s">
        <v>536</v>
      </c>
      <c r="F209" s="117"/>
      <c r="G209" s="118"/>
      <c r="H209" s="115"/>
      <c r="I209" s="115"/>
      <c r="J209" s="115"/>
      <c r="K209" s="115"/>
      <c r="L209" s="115"/>
      <c r="M209" s="115"/>
      <c r="N209" s="115"/>
      <c r="O209" s="115"/>
      <c r="P209" s="115"/>
      <c r="Q209" s="115"/>
      <c r="R209" s="115"/>
      <c r="S209" s="119"/>
      <c r="T209" s="119"/>
      <c r="U209" s="119"/>
      <c r="V209" s="119"/>
      <c r="W209" s="119"/>
      <c r="X209" s="119"/>
      <c r="Y209" s="120">
        <v>931985</v>
      </c>
      <c r="Z209" s="120"/>
      <c r="AA209" s="120">
        <v>20748.21</v>
      </c>
      <c r="AB209" s="121">
        <v>48463.61</v>
      </c>
      <c r="AC209" s="121">
        <v>0</v>
      </c>
      <c r="AD209" s="121">
        <v>6695711.1699999999</v>
      </c>
      <c r="AE209" s="121">
        <v>0</v>
      </c>
      <c r="AF209" s="121">
        <v>62896.5</v>
      </c>
      <c r="AG209" s="121">
        <v>3656.93</v>
      </c>
      <c r="AH209" s="121">
        <v>0</v>
      </c>
      <c r="AI209" s="121">
        <v>0</v>
      </c>
      <c r="AJ209" s="121">
        <v>1035724.7399999989</v>
      </c>
      <c r="AK209" s="121">
        <v>3954.68</v>
      </c>
      <c r="AL209" s="121">
        <v>0</v>
      </c>
      <c r="AM209" s="121">
        <v>0</v>
      </c>
      <c r="AN209" s="121">
        <v>42.67</v>
      </c>
      <c r="AO209" s="121">
        <v>0</v>
      </c>
      <c r="AP209" s="121">
        <v>0</v>
      </c>
      <c r="AQ209" s="121">
        <v>0</v>
      </c>
      <c r="AR209" s="121">
        <v>0</v>
      </c>
      <c r="AS209" s="121">
        <v>0</v>
      </c>
      <c r="AT209" s="121">
        <v>0</v>
      </c>
      <c r="AU209" s="121">
        <v>51297.760000000002</v>
      </c>
      <c r="AV209" s="121">
        <v>0</v>
      </c>
      <c r="AW209" s="121">
        <v>3055489.09</v>
      </c>
      <c r="AX209" s="121">
        <v>0</v>
      </c>
      <c r="AY209" s="121">
        <v>1854746.63</v>
      </c>
      <c r="AZ209" s="121">
        <v>131877.44</v>
      </c>
      <c r="BA209" s="121">
        <v>216528.3</v>
      </c>
      <c r="BB209" s="121">
        <v>70858.52</v>
      </c>
      <c r="BC209" s="121">
        <v>261565.99</v>
      </c>
      <c r="BD209" s="121">
        <v>283.05</v>
      </c>
      <c r="BE209" s="121">
        <v>45469.27</v>
      </c>
      <c r="BF209" s="121">
        <v>0</v>
      </c>
      <c r="BG209" s="121">
        <v>0</v>
      </c>
      <c r="BH209" s="121">
        <v>200017.64</v>
      </c>
      <c r="BI209" s="121">
        <v>14459.78</v>
      </c>
      <c r="BJ209" s="121">
        <v>17351.25</v>
      </c>
      <c r="BK209" s="121">
        <v>5390.86</v>
      </c>
      <c r="BL209" s="121">
        <v>75746.22</v>
      </c>
      <c r="BM209" s="121">
        <v>0</v>
      </c>
      <c r="BN209" s="121">
        <v>9478.2999999999993</v>
      </c>
      <c r="BO209" s="121">
        <v>96477.34</v>
      </c>
      <c r="BP209" s="121">
        <v>146052.92000000001</v>
      </c>
      <c r="BQ209" s="121">
        <v>9615.2900000000009</v>
      </c>
      <c r="BR209" s="121">
        <v>90325.53</v>
      </c>
      <c r="BS209" s="121">
        <v>4895</v>
      </c>
      <c r="BT209" s="121">
        <v>550</v>
      </c>
      <c r="BU209" s="121">
        <v>54176.05</v>
      </c>
      <c r="BV209" s="121">
        <v>62334.64</v>
      </c>
      <c r="BW209" s="121">
        <v>1566.64</v>
      </c>
      <c r="BX209" s="121">
        <v>1664014.23</v>
      </c>
      <c r="BY209" s="121">
        <v>0</v>
      </c>
      <c r="BZ209" s="121">
        <v>0</v>
      </c>
      <c r="CA209" s="121">
        <v>0</v>
      </c>
      <c r="CB209" s="121">
        <v>0</v>
      </c>
      <c r="CC209" s="121">
        <v>0</v>
      </c>
      <c r="CD209" s="121">
        <v>12201.25</v>
      </c>
      <c r="CE209" s="121">
        <v>24443.200000000004</v>
      </c>
      <c r="CF209" s="121">
        <v>0</v>
      </c>
      <c r="CG209" s="121">
        <v>0</v>
      </c>
      <c r="CH209" s="121">
        <v>0</v>
      </c>
      <c r="CI209" s="121">
        <v>0</v>
      </c>
      <c r="CJ209" s="121">
        <v>0</v>
      </c>
      <c r="CK209" s="121"/>
      <c r="CL209" s="121">
        <v>744463.08000000007</v>
      </c>
      <c r="CM209" s="121"/>
      <c r="CN209" s="121">
        <v>57392.66</v>
      </c>
      <c r="CO209" s="121">
        <v>0</v>
      </c>
      <c r="CP209" s="121">
        <v>0</v>
      </c>
      <c r="CQ209" s="121">
        <v>0</v>
      </c>
      <c r="CR209" s="118"/>
      <c r="CS209" s="33">
        <v>744463.08000000007</v>
      </c>
      <c r="CT209" s="33">
        <v>57392.66</v>
      </c>
      <c r="CU209" s="65">
        <v>744463.08</v>
      </c>
      <c r="CV209" s="65">
        <v>57392.66</v>
      </c>
      <c r="CW209" s="65">
        <v>0</v>
      </c>
      <c r="CX209" s="33">
        <v>0</v>
      </c>
      <c r="CY209" s="33">
        <v>801855.74</v>
      </c>
      <c r="CZ209" s="66">
        <v>24443.200000000004</v>
      </c>
      <c r="DA209" s="33">
        <v>24443.200000000004</v>
      </c>
      <c r="DB209" s="33">
        <v>1.0477378964424133E-9</v>
      </c>
      <c r="DC209" s="33">
        <v>0</v>
      </c>
      <c r="DF209" s="33">
        <v>1.4551915228366852E-10</v>
      </c>
      <c r="DI209" s="33">
        <v>744463.08000000007</v>
      </c>
      <c r="DJ209" s="33">
        <v>57392.66</v>
      </c>
      <c r="DK209" s="65">
        <v>744463.08</v>
      </c>
      <c r="DL209" s="65">
        <v>57392.66</v>
      </c>
      <c r="DQ209" s="115">
        <v>3307016</v>
      </c>
      <c r="DS209" s="33">
        <v>0</v>
      </c>
      <c r="DT209" s="33">
        <v>7901748.0599999987</v>
      </c>
      <c r="DU209" s="33">
        <v>8089269.9799999986</v>
      </c>
      <c r="DV209" s="33">
        <v>-187521.91999999993</v>
      </c>
      <c r="DW209" s="33">
        <v>36644.450000000004</v>
      </c>
      <c r="DX209" s="33">
        <v>0</v>
      </c>
      <c r="DY209" s="33">
        <v>36644.450000000004</v>
      </c>
    </row>
    <row r="210" spans="2:129" x14ac:dyDescent="0.35">
      <c r="B210" s="87">
        <v>7030</v>
      </c>
      <c r="C210" s="115">
        <v>3307030</v>
      </c>
      <c r="D210" s="116" t="s">
        <v>537</v>
      </c>
      <c r="E210" s="116" t="s">
        <v>538</v>
      </c>
      <c r="F210" s="117"/>
      <c r="G210" s="118"/>
      <c r="H210" s="115"/>
      <c r="I210" s="115"/>
      <c r="J210" s="115"/>
      <c r="K210" s="115"/>
      <c r="L210" s="115"/>
      <c r="M210" s="115"/>
      <c r="N210" s="115"/>
      <c r="O210" s="115"/>
      <c r="P210" s="115"/>
      <c r="Q210" s="115"/>
      <c r="R210" s="115"/>
      <c r="S210" s="119"/>
      <c r="T210" s="119"/>
      <c r="U210" s="119"/>
      <c r="V210" s="119"/>
      <c r="W210" s="119"/>
      <c r="X210" s="119"/>
      <c r="Y210" s="120">
        <v>395471.24</v>
      </c>
      <c r="Z210" s="120"/>
      <c r="AA210" s="120">
        <v>-10303.700000000001</v>
      </c>
      <c r="AB210" s="121">
        <v>18813.080000000002</v>
      </c>
      <c r="AC210" s="121">
        <v>0</v>
      </c>
      <c r="AD210" s="121">
        <v>1471656.82</v>
      </c>
      <c r="AE210" s="121">
        <v>0</v>
      </c>
      <c r="AF210" s="121">
        <v>40825.5</v>
      </c>
      <c r="AG210" s="121">
        <v>0</v>
      </c>
      <c r="AH210" s="121">
        <v>0</v>
      </c>
      <c r="AI210" s="121">
        <v>0</v>
      </c>
      <c r="AJ210" s="121">
        <v>820385.45999999985</v>
      </c>
      <c r="AK210" s="121">
        <v>0</v>
      </c>
      <c r="AL210" s="121">
        <v>0</v>
      </c>
      <c r="AM210" s="121">
        <v>0</v>
      </c>
      <c r="AN210" s="121">
        <v>0</v>
      </c>
      <c r="AO210" s="121">
        <v>0</v>
      </c>
      <c r="AP210" s="121">
        <v>0</v>
      </c>
      <c r="AQ210" s="121">
        <v>0</v>
      </c>
      <c r="AR210" s="121">
        <v>0</v>
      </c>
      <c r="AS210" s="121">
        <v>0</v>
      </c>
      <c r="AT210" s="121">
        <v>0</v>
      </c>
      <c r="AU210" s="121">
        <v>28188.18</v>
      </c>
      <c r="AV210" s="121">
        <v>0</v>
      </c>
      <c r="AW210" s="121">
        <v>1162075.27</v>
      </c>
      <c r="AX210" s="121">
        <v>0</v>
      </c>
      <c r="AY210" s="121">
        <v>515172.97</v>
      </c>
      <c r="AZ210" s="121">
        <v>59995.97</v>
      </c>
      <c r="BA210" s="121">
        <v>219703.39</v>
      </c>
      <c r="BB210" s="121">
        <v>0</v>
      </c>
      <c r="BC210" s="121">
        <v>21509.27</v>
      </c>
      <c r="BD210" s="121">
        <v>5419.55</v>
      </c>
      <c r="BE210" s="121">
        <v>21578.05</v>
      </c>
      <c r="BF210" s="121">
        <v>0</v>
      </c>
      <c r="BG210" s="121">
        <v>0</v>
      </c>
      <c r="BH210" s="121">
        <v>37240.629999999997</v>
      </c>
      <c r="BI210" s="121">
        <v>23763.53</v>
      </c>
      <c r="BJ210" s="121">
        <v>19351.2</v>
      </c>
      <c r="BK210" s="121">
        <v>0</v>
      </c>
      <c r="BL210" s="121">
        <v>1640.1</v>
      </c>
      <c r="BM210" s="121">
        <v>0</v>
      </c>
      <c r="BN210" s="121">
        <v>15837.53</v>
      </c>
      <c r="BO210" s="121">
        <v>74277.3</v>
      </c>
      <c r="BP210" s="121">
        <v>34090.83</v>
      </c>
      <c r="BQ210" s="121">
        <v>12669.72</v>
      </c>
      <c r="BR210" s="121">
        <v>81428.240000000005</v>
      </c>
      <c r="BS210" s="121">
        <v>3529.99</v>
      </c>
      <c r="BT210" s="121">
        <v>5144.8</v>
      </c>
      <c r="BU210" s="121">
        <v>14434.87</v>
      </c>
      <c r="BV210" s="121">
        <v>36966.92</v>
      </c>
      <c r="BW210" s="121">
        <v>0</v>
      </c>
      <c r="BX210" s="121">
        <v>92566</v>
      </c>
      <c r="BY210" s="121">
        <v>0</v>
      </c>
      <c r="BZ210" s="121">
        <v>0</v>
      </c>
      <c r="CA210" s="121">
        <v>6153.02</v>
      </c>
      <c r="CB210" s="121">
        <v>0</v>
      </c>
      <c r="CC210" s="121">
        <v>0</v>
      </c>
      <c r="CD210" s="121">
        <v>7594.38</v>
      </c>
      <c r="CE210" s="121">
        <v>16499.439999999999</v>
      </c>
      <c r="CF210" s="121">
        <v>6153.02</v>
      </c>
      <c r="CG210" s="121">
        <v>0</v>
      </c>
      <c r="CH210" s="121">
        <v>0</v>
      </c>
      <c r="CI210" s="121">
        <v>0</v>
      </c>
      <c r="CJ210" s="121">
        <v>19943.14</v>
      </c>
      <c r="CK210" s="121"/>
      <c r="CL210" s="121">
        <v>310791.12999999966</v>
      </c>
      <c r="CM210" s="121"/>
      <c r="CN210" s="121">
        <v>0</v>
      </c>
      <c r="CO210" s="121">
        <v>0</v>
      </c>
      <c r="CP210" s="121">
        <v>0</v>
      </c>
      <c r="CQ210" s="121">
        <v>0</v>
      </c>
      <c r="CR210" s="118"/>
      <c r="CS210" s="33">
        <v>310791.12999999966</v>
      </c>
      <c r="CT210" s="33">
        <v>0</v>
      </c>
      <c r="CU210" s="65">
        <v>316944.15000000002</v>
      </c>
      <c r="CV210" s="65">
        <v>-6153.02</v>
      </c>
      <c r="CW210" s="65">
        <v>-6153.0200000003679</v>
      </c>
      <c r="CX210" s="33">
        <v>-6153.02</v>
      </c>
      <c r="CY210" s="33">
        <v>310791.13</v>
      </c>
      <c r="CZ210" s="66">
        <v>16499.439999999999</v>
      </c>
      <c r="DA210" s="33">
        <v>16499.439999999999</v>
      </c>
      <c r="DB210" s="33">
        <v>1671.3300000001909</v>
      </c>
      <c r="DC210" s="33">
        <v>0</v>
      </c>
      <c r="DD210" s="65">
        <v>-6153.02</v>
      </c>
      <c r="DF210" s="33">
        <v>-3.6743585951626301E-10</v>
      </c>
      <c r="DI210" s="33">
        <v>310791.12999999966</v>
      </c>
      <c r="DJ210" s="33">
        <v>0</v>
      </c>
      <c r="DK210" s="65">
        <v>316944.15000000002</v>
      </c>
      <c r="DL210" s="65">
        <v>-6153.02</v>
      </c>
      <c r="DQ210" s="115">
        <v>3307030</v>
      </c>
      <c r="DS210" s="33">
        <v>0</v>
      </c>
      <c r="DT210" s="33">
        <v>2379869.04</v>
      </c>
      <c r="DU210" s="33">
        <v>2464549.1500000004</v>
      </c>
      <c r="DV210" s="33">
        <v>-84680.110000000335</v>
      </c>
      <c r="DW210" s="33">
        <v>30246.84</v>
      </c>
      <c r="DX210" s="33">
        <v>19943.14</v>
      </c>
      <c r="DY210" s="33">
        <v>10303.700000000001</v>
      </c>
    </row>
    <row r="211" spans="2:129" x14ac:dyDescent="0.35">
      <c r="B211" s="87">
        <v>7033</v>
      </c>
      <c r="C211" s="115">
        <v>3307033</v>
      </c>
      <c r="D211" s="116" t="s">
        <v>539</v>
      </c>
      <c r="E211" s="116" t="s">
        <v>540</v>
      </c>
      <c r="F211" s="117"/>
      <c r="G211" s="118"/>
      <c r="H211" s="115"/>
      <c r="I211" s="115"/>
      <c r="J211" s="115"/>
      <c r="K211" s="115"/>
      <c r="L211" s="115"/>
      <c r="M211" s="115"/>
      <c r="N211" s="115"/>
      <c r="O211" s="115"/>
      <c r="P211" s="115"/>
      <c r="Q211" s="115"/>
      <c r="R211" s="115"/>
      <c r="S211" s="119"/>
      <c r="T211" s="119"/>
      <c r="U211" s="119"/>
      <c r="V211" s="119"/>
      <c r="W211" s="119"/>
      <c r="X211" s="119"/>
      <c r="Y211" s="120">
        <v>770470.24</v>
      </c>
      <c r="Z211" s="120"/>
      <c r="AA211" s="120">
        <v>46500.81</v>
      </c>
      <c r="AB211" s="121">
        <v>159089.13</v>
      </c>
      <c r="AC211" s="121">
        <v>0</v>
      </c>
      <c r="AD211" s="121">
        <v>6615921.1500000004</v>
      </c>
      <c r="AE211" s="121">
        <v>0</v>
      </c>
      <c r="AF211" s="121">
        <v>170200</v>
      </c>
      <c r="AG211" s="121">
        <v>3856.93</v>
      </c>
      <c r="AH211" s="121">
        <v>0</v>
      </c>
      <c r="AI211" s="121">
        <v>0</v>
      </c>
      <c r="AJ211" s="121">
        <v>797542.41000000038</v>
      </c>
      <c r="AK211" s="121">
        <v>34532.19</v>
      </c>
      <c r="AL211" s="121">
        <v>0</v>
      </c>
      <c r="AM211" s="121">
        <v>0</v>
      </c>
      <c r="AN211" s="121">
        <v>2459.7800000000002</v>
      </c>
      <c r="AO211" s="121">
        <v>0</v>
      </c>
      <c r="AP211" s="121">
        <v>0</v>
      </c>
      <c r="AQ211" s="121">
        <v>0</v>
      </c>
      <c r="AR211" s="121">
        <v>0</v>
      </c>
      <c r="AS211" s="121">
        <v>0</v>
      </c>
      <c r="AT211" s="121">
        <v>0</v>
      </c>
      <c r="AU211" s="121">
        <v>135329.13</v>
      </c>
      <c r="AV211" s="121">
        <v>0</v>
      </c>
      <c r="AW211" s="121">
        <v>5978595.2599999998</v>
      </c>
      <c r="AX211" s="121">
        <v>19896.2</v>
      </c>
      <c r="AY211" s="121">
        <v>211018.14</v>
      </c>
      <c r="AZ211" s="121">
        <v>60879.19</v>
      </c>
      <c r="BA211" s="121">
        <v>198097.98</v>
      </c>
      <c r="BB211" s="121">
        <v>55837.2</v>
      </c>
      <c r="BC211" s="121">
        <v>3741.78</v>
      </c>
      <c r="BD211" s="121">
        <v>6240.78</v>
      </c>
      <c r="BE211" s="121">
        <v>0</v>
      </c>
      <c r="BF211" s="121">
        <v>0</v>
      </c>
      <c r="BG211" s="121">
        <v>0</v>
      </c>
      <c r="BH211" s="121">
        <v>172030.5</v>
      </c>
      <c r="BI211" s="121">
        <v>998</v>
      </c>
      <c r="BJ211" s="121">
        <v>90147.74</v>
      </c>
      <c r="BK211" s="121">
        <v>129.66999999999999</v>
      </c>
      <c r="BL211" s="121">
        <v>136040.94</v>
      </c>
      <c r="BM211" s="121">
        <v>0</v>
      </c>
      <c r="BN211" s="121">
        <v>7616.66</v>
      </c>
      <c r="BO211" s="121">
        <v>140614.88</v>
      </c>
      <c r="BP211" s="121">
        <v>13520.1</v>
      </c>
      <c r="BQ211" s="121">
        <v>27454.26</v>
      </c>
      <c r="BR211" s="121">
        <v>459865.81</v>
      </c>
      <c r="BS211" s="121">
        <v>4895</v>
      </c>
      <c r="BT211" s="121">
        <v>0</v>
      </c>
      <c r="BU211" s="121">
        <v>95528.06</v>
      </c>
      <c r="BV211" s="121">
        <v>348458.4</v>
      </c>
      <c r="BW211" s="121">
        <v>0</v>
      </c>
      <c r="BX211" s="121">
        <v>227817.98</v>
      </c>
      <c r="BY211" s="121">
        <v>0</v>
      </c>
      <c r="BZ211" s="121">
        <v>0</v>
      </c>
      <c r="CA211" s="121">
        <v>0</v>
      </c>
      <c r="CB211" s="121">
        <v>0</v>
      </c>
      <c r="CC211" s="121">
        <v>0</v>
      </c>
      <c r="CD211" s="121">
        <v>23212.19</v>
      </c>
      <c r="CE211" s="121">
        <v>30357.820000000007</v>
      </c>
      <c r="CF211" s="121">
        <v>0</v>
      </c>
      <c r="CG211" s="121">
        <v>0</v>
      </c>
      <c r="CH211" s="121">
        <v>0</v>
      </c>
      <c r="CI211" s="121">
        <v>0</v>
      </c>
      <c r="CJ211" s="121">
        <v>23212</v>
      </c>
      <c r="CK211" s="121"/>
      <c r="CL211" s="121">
        <v>429976.42999999947</v>
      </c>
      <c r="CM211" s="121"/>
      <c r="CN211" s="121">
        <v>76858.820000000007</v>
      </c>
      <c r="CO211" s="121">
        <v>0</v>
      </c>
      <c r="CP211" s="121">
        <v>0</v>
      </c>
      <c r="CQ211" s="121">
        <v>0</v>
      </c>
      <c r="CR211" s="118"/>
      <c r="CS211" s="33">
        <v>429976.42999999947</v>
      </c>
      <c r="CT211" s="33">
        <v>76858.820000000007</v>
      </c>
      <c r="CU211" s="65">
        <v>429976.43</v>
      </c>
      <c r="CV211" s="65">
        <v>76858.820000000007</v>
      </c>
      <c r="CW211" s="65">
        <v>-5.2386894822120667E-10</v>
      </c>
      <c r="CX211" s="33">
        <v>0</v>
      </c>
      <c r="CY211" s="33">
        <v>506835.25</v>
      </c>
      <c r="CZ211" s="66">
        <v>30357.820000000007</v>
      </c>
      <c r="DA211" s="33">
        <v>30357.820000000007</v>
      </c>
      <c r="DB211" s="33">
        <v>3.9999999513383955E-2</v>
      </c>
      <c r="DC211" s="33">
        <v>0</v>
      </c>
      <c r="DF211" s="33">
        <v>-5.2386894822120667E-10</v>
      </c>
      <c r="DI211" s="33">
        <v>429976.42999999947</v>
      </c>
      <c r="DJ211" s="33">
        <v>76858.820000000007</v>
      </c>
      <c r="DK211" s="65">
        <v>429976.43</v>
      </c>
      <c r="DL211" s="65">
        <v>76858.820000000007</v>
      </c>
      <c r="DQ211" s="115">
        <v>3307033</v>
      </c>
      <c r="DS211" s="33">
        <v>0</v>
      </c>
      <c r="DT211" s="33">
        <v>7918930.7200000007</v>
      </c>
      <c r="DU211" s="33">
        <v>8259424.5300000012</v>
      </c>
      <c r="DV211" s="33">
        <v>-340493.81000000052</v>
      </c>
      <c r="DW211" s="33">
        <v>53570.010000000009</v>
      </c>
      <c r="DX211" s="33">
        <v>23212</v>
      </c>
      <c r="DY211" s="33">
        <v>30358.010000000009</v>
      </c>
    </row>
    <row r="212" spans="2:129" x14ac:dyDescent="0.35">
      <c r="B212" s="87">
        <v>7034</v>
      </c>
      <c r="C212" s="115">
        <v>3307034</v>
      </c>
      <c r="D212" s="116" t="s">
        <v>541</v>
      </c>
      <c r="E212" s="116" t="s">
        <v>542</v>
      </c>
      <c r="F212" s="117"/>
      <c r="G212" s="118"/>
      <c r="H212" s="115"/>
      <c r="I212" s="115"/>
      <c r="J212" s="115"/>
      <c r="K212" s="115"/>
      <c r="L212" s="115"/>
      <c r="M212" s="115"/>
      <c r="N212" s="115"/>
      <c r="O212" s="115"/>
      <c r="P212" s="115"/>
      <c r="Q212" s="115"/>
      <c r="R212" s="115"/>
      <c r="S212" s="119"/>
      <c r="T212" s="119"/>
      <c r="U212" s="119"/>
      <c r="V212" s="119"/>
      <c r="W212" s="119"/>
      <c r="X212" s="119"/>
      <c r="Y212" s="120">
        <v>264907.27</v>
      </c>
      <c r="Z212" s="120"/>
      <c r="AA212" s="120">
        <v>-12299.86</v>
      </c>
      <c r="AB212" s="121">
        <v>27867.02</v>
      </c>
      <c r="AC212" s="121">
        <v>0</v>
      </c>
      <c r="AD212" s="121">
        <v>2088879.13</v>
      </c>
      <c r="AE212" s="121">
        <v>0</v>
      </c>
      <c r="AF212" s="121">
        <v>44205.5</v>
      </c>
      <c r="AG212" s="121">
        <v>3456.93</v>
      </c>
      <c r="AH212" s="121">
        <v>0</v>
      </c>
      <c r="AI212" s="121">
        <v>0</v>
      </c>
      <c r="AJ212" s="121">
        <v>810246.98000000021</v>
      </c>
      <c r="AK212" s="121">
        <v>0</v>
      </c>
      <c r="AL212" s="121">
        <v>0</v>
      </c>
      <c r="AM212" s="121">
        <v>0</v>
      </c>
      <c r="AN212" s="121">
        <v>0</v>
      </c>
      <c r="AO212" s="121">
        <v>0</v>
      </c>
      <c r="AP212" s="121">
        <v>0</v>
      </c>
      <c r="AQ212" s="121">
        <v>0</v>
      </c>
      <c r="AR212" s="121">
        <v>0</v>
      </c>
      <c r="AS212" s="121">
        <v>0</v>
      </c>
      <c r="AT212" s="121">
        <v>0</v>
      </c>
      <c r="AU212" s="121">
        <v>36096.910000000003</v>
      </c>
      <c r="AV212" s="121">
        <v>20335</v>
      </c>
      <c r="AW212" s="121">
        <v>1053793.6299999999</v>
      </c>
      <c r="AX212" s="121">
        <v>0</v>
      </c>
      <c r="AY212" s="121">
        <v>712842.54</v>
      </c>
      <c r="AZ212" s="121">
        <v>2407.87</v>
      </c>
      <c r="BA212" s="121">
        <v>275669.82</v>
      </c>
      <c r="BB212" s="121">
        <v>0</v>
      </c>
      <c r="BC212" s="121">
        <v>67458.05</v>
      </c>
      <c r="BD212" s="121">
        <v>2178.7800000000002</v>
      </c>
      <c r="BE212" s="121">
        <v>548.37</v>
      </c>
      <c r="BF212" s="121">
        <v>0</v>
      </c>
      <c r="BG212" s="121">
        <v>0</v>
      </c>
      <c r="BH212" s="121">
        <v>339238.43</v>
      </c>
      <c r="BI212" s="121">
        <v>0</v>
      </c>
      <c r="BJ212" s="121">
        <v>0</v>
      </c>
      <c r="BK212" s="121">
        <v>0</v>
      </c>
      <c r="BL212" s="121">
        <v>27596.46</v>
      </c>
      <c r="BM212" s="121">
        <v>0</v>
      </c>
      <c r="BN212" s="121">
        <v>44.85</v>
      </c>
      <c r="BO212" s="121">
        <v>86825.64</v>
      </c>
      <c r="BP212" s="121">
        <v>2507.83</v>
      </c>
      <c r="BQ212" s="121">
        <v>3905.32</v>
      </c>
      <c r="BR212" s="121">
        <v>21500.67</v>
      </c>
      <c r="BS212" s="121">
        <v>4895</v>
      </c>
      <c r="BT212" s="121">
        <v>1631.25</v>
      </c>
      <c r="BU212" s="121">
        <v>18611.939999999999</v>
      </c>
      <c r="BV212" s="121">
        <v>69149.399999999994</v>
      </c>
      <c r="BW212" s="121">
        <v>0</v>
      </c>
      <c r="BX212" s="121">
        <v>204898.47</v>
      </c>
      <c r="BY212" s="121">
        <v>0</v>
      </c>
      <c r="BZ212" s="121">
        <v>0</v>
      </c>
      <c r="CA212" s="121">
        <v>12844.85</v>
      </c>
      <c r="CB212" s="121">
        <v>0</v>
      </c>
      <c r="CC212" s="121">
        <v>0</v>
      </c>
      <c r="CD212" s="121">
        <v>8303.1299999999992</v>
      </c>
      <c r="CE212" s="121">
        <v>0</v>
      </c>
      <c r="CF212" s="121">
        <v>12844.85</v>
      </c>
      <c r="CG212" s="121">
        <v>0</v>
      </c>
      <c r="CH212" s="121">
        <v>0</v>
      </c>
      <c r="CI212" s="121">
        <v>8303.1299999999992</v>
      </c>
      <c r="CJ212" s="121">
        <v>544.99</v>
      </c>
      <c r="CK212" s="121">
        <v>0</v>
      </c>
      <c r="CL212" s="121">
        <v>387445.5700000003</v>
      </c>
      <c r="CM212" s="121"/>
      <c r="CN212" s="121">
        <v>0</v>
      </c>
      <c r="CO212" s="121">
        <v>0</v>
      </c>
      <c r="CP212" s="121">
        <v>0</v>
      </c>
      <c r="CQ212" s="121">
        <v>0</v>
      </c>
      <c r="CR212" s="118"/>
      <c r="CS212" s="33">
        <v>387445.5700000003</v>
      </c>
      <c r="CT212" s="33">
        <v>0</v>
      </c>
      <c r="CU212" s="65">
        <v>400290.42</v>
      </c>
      <c r="CV212" s="65">
        <v>-12844.85</v>
      </c>
      <c r="CW212" s="65">
        <v>-12844.849999999686</v>
      </c>
      <c r="CX212" s="33">
        <v>-12844.85</v>
      </c>
      <c r="CY212" s="33">
        <v>387445.57</v>
      </c>
      <c r="CZ212" s="66">
        <v>0</v>
      </c>
      <c r="DA212" s="33">
        <v>0</v>
      </c>
      <c r="DB212" s="33">
        <v>26932.359999999811</v>
      </c>
      <c r="DC212" s="33">
        <v>0</v>
      </c>
      <c r="DD212" s="65">
        <v>-12844.85</v>
      </c>
      <c r="DF212" s="33">
        <v>3.1468516681343317E-10</v>
      </c>
      <c r="DI212" s="33">
        <v>387445.5700000003</v>
      </c>
      <c r="DJ212" s="33">
        <v>0</v>
      </c>
      <c r="DK212" s="65">
        <v>400290.42</v>
      </c>
      <c r="DL212" s="65">
        <v>-12844.85</v>
      </c>
      <c r="DQ212" s="115">
        <v>3307034</v>
      </c>
      <c r="DS212" s="33">
        <v>0</v>
      </c>
      <c r="DT212" s="33">
        <v>3031087.4700000007</v>
      </c>
      <c r="DU212" s="33">
        <v>2908549.1700000004</v>
      </c>
      <c r="DV212" s="33">
        <v>122538.30000000028</v>
      </c>
      <c r="DW212" s="33">
        <v>21147.98</v>
      </c>
      <c r="DX212" s="33">
        <v>8848.119999999999</v>
      </c>
      <c r="DY212" s="33">
        <v>12299.86</v>
      </c>
    </row>
    <row r="213" spans="2:129" x14ac:dyDescent="0.35">
      <c r="B213" s="87">
        <v>7045</v>
      </c>
      <c r="C213" s="115">
        <v>3307045</v>
      </c>
      <c r="D213" s="116" t="s">
        <v>543</v>
      </c>
      <c r="E213" s="116" t="s">
        <v>544</v>
      </c>
      <c r="F213" s="117"/>
      <c r="G213" s="118"/>
      <c r="H213" s="115"/>
      <c r="I213" s="115"/>
      <c r="J213" s="115"/>
      <c r="K213" s="115"/>
      <c r="L213" s="115"/>
      <c r="M213" s="115"/>
      <c r="N213" s="115"/>
      <c r="O213" s="115"/>
      <c r="P213" s="115"/>
      <c r="Q213" s="115"/>
      <c r="R213" s="115"/>
      <c r="S213" s="119"/>
      <c r="T213" s="119"/>
      <c r="U213" s="119"/>
      <c r="V213" s="119"/>
      <c r="W213" s="119"/>
      <c r="X213" s="119"/>
      <c r="Y213" s="120">
        <v>1037160.92</v>
      </c>
      <c r="Z213" s="120"/>
      <c r="AA213" s="120">
        <v>-34688.67</v>
      </c>
      <c r="AB213" s="121">
        <v>69902.509999999995</v>
      </c>
      <c r="AC213" s="121">
        <v>0</v>
      </c>
      <c r="AD213" s="121">
        <v>5588451.6399999997</v>
      </c>
      <c r="AE213" s="121">
        <v>0</v>
      </c>
      <c r="AF213" s="121">
        <v>156265.5</v>
      </c>
      <c r="AG213" s="121">
        <v>0</v>
      </c>
      <c r="AH213" s="121">
        <v>0</v>
      </c>
      <c r="AI213" s="121">
        <v>0</v>
      </c>
      <c r="AJ213" s="121">
        <v>402456.58</v>
      </c>
      <c r="AK213" s="121">
        <v>0</v>
      </c>
      <c r="AL213" s="121">
        <v>0</v>
      </c>
      <c r="AM213" s="121">
        <v>0</v>
      </c>
      <c r="AN213" s="121">
        <v>5453.85</v>
      </c>
      <c r="AO213" s="121">
        <v>942.83</v>
      </c>
      <c r="AP213" s="121">
        <v>0</v>
      </c>
      <c r="AQ213" s="121">
        <v>0</v>
      </c>
      <c r="AR213" s="121">
        <v>0</v>
      </c>
      <c r="AS213" s="121">
        <v>0</v>
      </c>
      <c r="AT213" s="121">
        <v>0</v>
      </c>
      <c r="AU213" s="121">
        <v>112806.64</v>
      </c>
      <c r="AV213" s="121">
        <v>33021</v>
      </c>
      <c r="AW213" s="121">
        <v>2349210.5699999998</v>
      </c>
      <c r="AX213" s="121">
        <v>0</v>
      </c>
      <c r="AY213" s="121">
        <v>1992203.77</v>
      </c>
      <c r="AZ213" s="121">
        <v>64282.44</v>
      </c>
      <c r="BA213" s="121">
        <v>136975.64000000001</v>
      </c>
      <c r="BB213" s="121">
        <v>0</v>
      </c>
      <c r="BC213" s="121">
        <v>85103.23</v>
      </c>
      <c r="BD213" s="121">
        <v>429.4</v>
      </c>
      <c r="BE213" s="121">
        <v>6801.5</v>
      </c>
      <c r="BF213" s="121">
        <v>0</v>
      </c>
      <c r="BG213" s="121">
        <v>0</v>
      </c>
      <c r="BH213" s="121">
        <v>35665.160000000003</v>
      </c>
      <c r="BI213" s="121">
        <v>0</v>
      </c>
      <c r="BJ213" s="121">
        <v>77800.600000000006</v>
      </c>
      <c r="BK213" s="121">
        <v>10914.29</v>
      </c>
      <c r="BL213" s="121">
        <v>124273.03</v>
      </c>
      <c r="BM213" s="121">
        <v>0</v>
      </c>
      <c r="BN213" s="121">
        <v>12584.44</v>
      </c>
      <c r="BO213" s="121">
        <v>181205.26999999853</v>
      </c>
      <c r="BP213" s="121">
        <v>50132.93</v>
      </c>
      <c r="BQ213" s="121">
        <v>6813.8</v>
      </c>
      <c r="BR213" s="121">
        <v>45307.67</v>
      </c>
      <c r="BS213" s="121">
        <v>4895</v>
      </c>
      <c r="BT213" s="121">
        <v>1315.2</v>
      </c>
      <c r="BU213" s="121">
        <v>176556.62</v>
      </c>
      <c r="BV213" s="121">
        <v>255858.13</v>
      </c>
      <c r="BW213" s="121">
        <v>1500</v>
      </c>
      <c r="BX213" s="121">
        <v>705062.68</v>
      </c>
      <c r="BY213" s="121">
        <v>0</v>
      </c>
      <c r="BZ213" s="121">
        <v>0</v>
      </c>
      <c r="CA213" s="121">
        <v>0</v>
      </c>
      <c r="CB213" s="121">
        <v>0</v>
      </c>
      <c r="CC213" s="121">
        <v>0</v>
      </c>
      <c r="CD213" s="121">
        <v>16352.5</v>
      </c>
      <c r="CE213" s="121">
        <v>29137.239999999998</v>
      </c>
      <c r="CF213" s="121">
        <v>0</v>
      </c>
      <c r="CG213" s="121">
        <v>0</v>
      </c>
      <c r="CH213" s="121">
        <v>0</v>
      </c>
      <c r="CI213" s="121">
        <v>0</v>
      </c>
      <c r="CJ213" s="121">
        <v>7063.5</v>
      </c>
      <c r="CK213" s="121"/>
      <c r="CL213" s="121">
        <v>1081570.0999999996</v>
      </c>
      <c r="CM213" s="121"/>
      <c r="CN213" s="121">
        <v>3737.5699999999997</v>
      </c>
      <c r="CO213" s="121">
        <v>0</v>
      </c>
      <c r="CP213" s="121">
        <v>0</v>
      </c>
      <c r="CQ213" s="121">
        <v>0</v>
      </c>
      <c r="CR213" s="118"/>
      <c r="CS213" s="33">
        <v>1081570.0999999996</v>
      </c>
      <c r="CT213" s="33">
        <v>3737.5699999999997</v>
      </c>
      <c r="CU213" s="65">
        <v>1081570.1000000001</v>
      </c>
      <c r="CV213" s="65">
        <v>3737.57</v>
      </c>
      <c r="CW213" s="65">
        <v>0</v>
      </c>
      <c r="CX213" s="33">
        <v>0</v>
      </c>
      <c r="CY213" s="33">
        <v>1085307.6700000002</v>
      </c>
      <c r="CZ213" s="66">
        <v>29137.239999999998</v>
      </c>
      <c r="DA213" s="33">
        <v>29137.239999999998</v>
      </c>
      <c r="DB213" s="33">
        <v>0</v>
      </c>
      <c r="DC213" s="33">
        <v>-8.0000001471489668E-2</v>
      </c>
      <c r="DF213" s="33">
        <v>-4.0063241613097489E-10</v>
      </c>
      <c r="DI213" s="33">
        <v>1081570.0999999996</v>
      </c>
      <c r="DJ213" s="33">
        <v>3737.5699999999997</v>
      </c>
      <c r="DK213" s="65">
        <v>1081570.1000000001</v>
      </c>
      <c r="DL213" s="65">
        <v>3737.57</v>
      </c>
      <c r="DQ213" s="115">
        <v>3307045</v>
      </c>
      <c r="DS213" s="33">
        <v>0</v>
      </c>
      <c r="DT213" s="33">
        <v>6369300.5499999989</v>
      </c>
      <c r="DU213" s="33">
        <v>6324891.3699999992</v>
      </c>
      <c r="DV213" s="33">
        <v>44409.179999999702</v>
      </c>
      <c r="DW213" s="33">
        <v>45489.74</v>
      </c>
      <c r="DX213" s="33">
        <v>7063.5</v>
      </c>
      <c r="DY213" s="33">
        <v>38426.239999999998</v>
      </c>
    </row>
    <row r="214" spans="2:129" x14ac:dyDescent="0.35">
      <c r="B214" s="87">
        <v>7047</v>
      </c>
      <c r="C214" s="115">
        <v>3307047</v>
      </c>
      <c r="D214" s="116" t="s">
        <v>545</v>
      </c>
      <c r="E214" s="116" t="s">
        <v>546</v>
      </c>
      <c r="F214" s="117"/>
      <c r="G214" s="118"/>
      <c r="H214" s="115"/>
      <c r="I214" s="115"/>
      <c r="J214" s="115"/>
      <c r="K214" s="115"/>
      <c r="L214" s="115"/>
      <c r="M214" s="115"/>
      <c r="N214" s="115"/>
      <c r="O214" s="115"/>
      <c r="P214" s="115"/>
      <c r="Q214" s="115"/>
      <c r="R214" s="115"/>
      <c r="S214" s="119"/>
      <c r="T214" s="119"/>
      <c r="U214" s="119"/>
      <c r="V214" s="119"/>
      <c r="W214" s="119"/>
      <c r="X214" s="119"/>
      <c r="Y214" s="120">
        <v>80424.850000000006</v>
      </c>
      <c r="Z214" s="120"/>
      <c r="AA214" s="120">
        <v>-17277.37</v>
      </c>
      <c r="AB214" s="121">
        <v>23826.32</v>
      </c>
      <c r="AC214" s="121">
        <v>0</v>
      </c>
      <c r="AD214" s="121">
        <v>2777690.44</v>
      </c>
      <c r="AE214" s="121">
        <v>0</v>
      </c>
      <c r="AF214" s="121">
        <v>84596.5</v>
      </c>
      <c r="AG214" s="121">
        <v>856.93</v>
      </c>
      <c r="AH214" s="121">
        <v>0</v>
      </c>
      <c r="AI214" s="121">
        <v>0</v>
      </c>
      <c r="AJ214" s="121">
        <v>175669.44999999905</v>
      </c>
      <c r="AK214" s="121">
        <v>0</v>
      </c>
      <c r="AL214" s="121">
        <v>0</v>
      </c>
      <c r="AM214" s="121">
        <v>0</v>
      </c>
      <c r="AN214" s="121">
        <v>2964.4</v>
      </c>
      <c r="AO214" s="121">
        <v>15</v>
      </c>
      <c r="AP214" s="121">
        <v>0</v>
      </c>
      <c r="AQ214" s="121">
        <v>0</v>
      </c>
      <c r="AR214" s="121">
        <v>0</v>
      </c>
      <c r="AS214" s="121">
        <v>0</v>
      </c>
      <c r="AT214" s="121">
        <v>0</v>
      </c>
      <c r="AU214" s="121">
        <v>14034.81</v>
      </c>
      <c r="AV214" s="121">
        <v>17767</v>
      </c>
      <c r="AW214" s="121">
        <v>955660.72</v>
      </c>
      <c r="AX214" s="121">
        <v>0</v>
      </c>
      <c r="AY214" s="121">
        <v>777443.76</v>
      </c>
      <c r="AZ214" s="121">
        <v>47860.2</v>
      </c>
      <c r="BA214" s="121">
        <v>204487.45</v>
      </c>
      <c r="BB214" s="121">
        <v>0</v>
      </c>
      <c r="BC214" s="121">
        <v>7324.48</v>
      </c>
      <c r="BD214" s="121">
        <v>476.95</v>
      </c>
      <c r="BE214" s="121">
        <v>3499.98</v>
      </c>
      <c r="BF214" s="121">
        <v>0</v>
      </c>
      <c r="BG214" s="121">
        <v>0</v>
      </c>
      <c r="BH214" s="121">
        <v>6430.47</v>
      </c>
      <c r="BI214" s="121">
        <v>14810.23</v>
      </c>
      <c r="BJ214" s="121">
        <v>6735.53</v>
      </c>
      <c r="BK214" s="121">
        <v>7977.12</v>
      </c>
      <c r="BL214" s="121">
        <v>122195.12</v>
      </c>
      <c r="BM214" s="121">
        <v>0</v>
      </c>
      <c r="BN214" s="121">
        <v>32850.26</v>
      </c>
      <c r="BO214" s="121">
        <v>40573.11</v>
      </c>
      <c r="BP214" s="121">
        <v>13723.43</v>
      </c>
      <c r="BQ214" s="121">
        <v>0</v>
      </c>
      <c r="BR214" s="121">
        <v>43568.82</v>
      </c>
      <c r="BS214" s="121">
        <v>4895</v>
      </c>
      <c r="BT214" s="121">
        <v>2649.8</v>
      </c>
      <c r="BU214" s="121">
        <v>22914.44</v>
      </c>
      <c r="BV214" s="121">
        <v>540276.22</v>
      </c>
      <c r="BW214" s="121">
        <v>0</v>
      </c>
      <c r="BX214" s="121">
        <v>182320.5</v>
      </c>
      <c r="BY214" s="121">
        <v>0</v>
      </c>
      <c r="BZ214" s="121">
        <v>0</v>
      </c>
      <c r="CA214" s="121">
        <v>31199.17</v>
      </c>
      <c r="CB214" s="121">
        <v>0</v>
      </c>
      <c r="CC214" s="121">
        <v>0</v>
      </c>
      <c r="CD214" s="121">
        <v>7999.38</v>
      </c>
      <c r="CE214" s="121">
        <v>0</v>
      </c>
      <c r="CF214" s="121">
        <v>31199.17</v>
      </c>
      <c r="CG214" s="121">
        <v>0</v>
      </c>
      <c r="CH214" s="121">
        <v>0</v>
      </c>
      <c r="CI214" s="121">
        <v>7999.38</v>
      </c>
      <c r="CJ214" s="121">
        <v>13921.8</v>
      </c>
      <c r="CK214" s="121">
        <v>0</v>
      </c>
      <c r="CL214" s="121">
        <v>107972.94000000032</v>
      </c>
      <c r="CM214" s="121"/>
      <c r="CN214" s="121">
        <v>0</v>
      </c>
      <c r="CO214" s="121">
        <v>0</v>
      </c>
      <c r="CP214" s="121">
        <v>0</v>
      </c>
      <c r="CQ214" s="121">
        <v>0</v>
      </c>
      <c r="CR214" s="118"/>
      <c r="CS214" s="33">
        <v>107972.94000000032</v>
      </c>
      <c r="CT214" s="33">
        <v>0</v>
      </c>
      <c r="CU214" s="65">
        <v>139172.10999999999</v>
      </c>
      <c r="CV214" s="65">
        <v>-31199.17</v>
      </c>
      <c r="CW214" s="65">
        <v>-31199.169999999664</v>
      </c>
      <c r="CX214" s="33">
        <v>-31199.17</v>
      </c>
      <c r="CY214" s="33">
        <v>107972.93999999999</v>
      </c>
      <c r="CZ214" s="66">
        <v>0</v>
      </c>
      <c r="DA214" s="33">
        <v>0</v>
      </c>
      <c r="DB214" s="33">
        <v>14403.990000000951</v>
      </c>
      <c r="DC214" s="33">
        <v>0</v>
      </c>
      <c r="DD214" s="65">
        <v>-31199.17</v>
      </c>
      <c r="DF214" s="33">
        <v>3.3469405025243759E-10</v>
      </c>
      <c r="DI214" s="33">
        <v>107972.94000000032</v>
      </c>
      <c r="DJ214" s="33">
        <v>0</v>
      </c>
      <c r="DK214" s="65">
        <v>139172.10999999999</v>
      </c>
      <c r="DL214" s="65">
        <v>-31199.17</v>
      </c>
      <c r="DQ214" s="115">
        <v>3307047</v>
      </c>
      <c r="DS214" s="33">
        <v>0</v>
      </c>
      <c r="DT214" s="33">
        <v>3097420.8499999992</v>
      </c>
      <c r="DU214" s="33">
        <v>3069872.7599999988</v>
      </c>
      <c r="DV214" s="33">
        <v>27548.090000000317</v>
      </c>
      <c r="DW214" s="33">
        <v>39198.549999999996</v>
      </c>
      <c r="DX214" s="33">
        <v>21921.18</v>
      </c>
      <c r="DY214" s="33">
        <v>17277.369999999995</v>
      </c>
    </row>
    <row r="215" spans="2:129" x14ac:dyDescent="0.35">
      <c r="B215" s="87">
        <v>7050</v>
      </c>
      <c r="C215" s="115">
        <v>3307050</v>
      </c>
      <c r="D215" s="116" t="s">
        <v>547</v>
      </c>
      <c r="E215" s="116" t="s">
        <v>548</v>
      </c>
      <c r="F215" s="117"/>
      <c r="G215" s="118"/>
      <c r="H215" s="115"/>
      <c r="I215" s="115"/>
      <c r="J215" s="115"/>
      <c r="K215" s="115"/>
      <c r="L215" s="115"/>
      <c r="M215" s="115"/>
      <c r="N215" s="115"/>
      <c r="O215" s="115"/>
      <c r="P215" s="115"/>
      <c r="Q215" s="115"/>
      <c r="R215" s="115"/>
      <c r="S215" s="119"/>
      <c r="T215" s="119"/>
      <c r="U215" s="119"/>
      <c r="V215" s="119"/>
      <c r="W215" s="119"/>
      <c r="X215" s="119"/>
      <c r="Y215" s="120">
        <v>829047</v>
      </c>
      <c r="Z215" s="120"/>
      <c r="AA215" s="120">
        <v>-11795.2</v>
      </c>
      <c r="AB215" s="121">
        <v>29124.400000000001</v>
      </c>
      <c r="AC215" s="121">
        <v>0</v>
      </c>
      <c r="AD215" s="121">
        <v>3036137.39</v>
      </c>
      <c r="AE215" s="121">
        <v>0</v>
      </c>
      <c r="AF215" s="121">
        <v>51176</v>
      </c>
      <c r="AG215" s="121">
        <v>0</v>
      </c>
      <c r="AH215" s="121">
        <v>1200</v>
      </c>
      <c r="AI215" s="121">
        <v>0</v>
      </c>
      <c r="AJ215" s="121">
        <v>109083.14000000061</v>
      </c>
      <c r="AK215" s="121">
        <v>0</v>
      </c>
      <c r="AL215" s="121">
        <v>0</v>
      </c>
      <c r="AM215" s="121">
        <v>0</v>
      </c>
      <c r="AN215" s="121">
        <v>0</v>
      </c>
      <c r="AO215" s="121">
        <v>0</v>
      </c>
      <c r="AP215" s="121">
        <v>0</v>
      </c>
      <c r="AQ215" s="121">
        <v>0</v>
      </c>
      <c r="AR215" s="121">
        <v>0</v>
      </c>
      <c r="AS215" s="121">
        <v>0</v>
      </c>
      <c r="AT215" s="121">
        <v>0</v>
      </c>
      <c r="AU215" s="121">
        <v>34899.06</v>
      </c>
      <c r="AV215" s="121">
        <v>0</v>
      </c>
      <c r="AW215" s="121">
        <v>1002985.74</v>
      </c>
      <c r="AX215" s="121">
        <v>0</v>
      </c>
      <c r="AY215" s="121">
        <v>1033460.17</v>
      </c>
      <c r="AZ215" s="121">
        <v>0</v>
      </c>
      <c r="BA215" s="121">
        <v>184391.62</v>
      </c>
      <c r="BB215" s="121">
        <v>0</v>
      </c>
      <c r="BC215" s="121">
        <v>50501.919999999998</v>
      </c>
      <c r="BD215" s="121">
        <v>1491.8</v>
      </c>
      <c r="BE215" s="121">
        <v>6483</v>
      </c>
      <c r="BF215" s="121">
        <v>0</v>
      </c>
      <c r="BG215" s="121">
        <v>0</v>
      </c>
      <c r="BH215" s="121">
        <v>16500.97</v>
      </c>
      <c r="BI215" s="121">
        <v>44138.07</v>
      </c>
      <c r="BJ215" s="121">
        <v>35303.269999999997</v>
      </c>
      <c r="BK215" s="121">
        <v>878.91</v>
      </c>
      <c r="BL215" s="121">
        <v>14789.32</v>
      </c>
      <c r="BM215" s="121">
        <v>0</v>
      </c>
      <c r="BN215" s="121">
        <v>168047.49</v>
      </c>
      <c r="BO215" s="121">
        <v>59256.22</v>
      </c>
      <c r="BP215" s="121">
        <v>3574.6</v>
      </c>
      <c r="BQ215" s="121">
        <v>2488.4</v>
      </c>
      <c r="BR215" s="121">
        <v>71043.73</v>
      </c>
      <c r="BS215" s="121">
        <v>3135</v>
      </c>
      <c r="BT215" s="121">
        <v>3525</v>
      </c>
      <c r="BU215" s="121">
        <v>72590.460000000006</v>
      </c>
      <c r="BV215" s="121">
        <v>197372.87</v>
      </c>
      <c r="BW215" s="121">
        <v>0</v>
      </c>
      <c r="BX215" s="121">
        <v>191852.14</v>
      </c>
      <c r="BY215" s="121">
        <v>0</v>
      </c>
      <c r="BZ215" s="121">
        <v>0</v>
      </c>
      <c r="CA215" s="121">
        <v>0</v>
      </c>
      <c r="CB215" s="121">
        <v>0</v>
      </c>
      <c r="CC215" s="121">
        <v>0</v>
      </c>
      <c r="CD215" s="121">
        <v>9467.5</v>
      </c>
      <c r="CE215" s="121">
        <v>19749.16</v>
      </c>
      <c r="CF215" s="121">
        <v>0</v>
      </c>
      <c r="CG215" s="121">
        <v>0</v>
      </c>
      <c r="CH215" s="121">
        <v>0</v>
      </c>
      <c r="CI215" s="121">
        <v>0</v>
      </c>
      <c r="CJ215" s="121">
        <v>4840</v>
      </c>
      <c r="CK215" s="121"/>
      <c r="CL215" s="121">
        <v>926856.29</v>
      </c>
      <c r="CM215" s="121"/>
      <c r="CN215" s="121">
        <v>12581.46</v>
      </c>
      <c r="CO215" s="121">
        <v>0</v>
      </c>
      <c r="CP215" s="121">
        <v>0</v>
      </c>
      <c r="CQ215" s="121">
        <v>0</v>
      </c>
      <c r="CR215" s="118"/>
      <c r="CS215" s="33">
        <v>926856.29</v>
      </c>
      <c r="CT215" s="33">
        <v>12581.46</v>
      </c>
      <c r="CU215" s="65">
        <v>926856.29</v>
      </c>
      <c r="CV215" s="65">
        <v>12581.46</v>
      </c>
      <c r="CW215" s="65">
        <v>0</v>
      </c>
      <c r="CX215" s="33">
        <v>0</v>
      </c>
      <c r="CY215" s="33">
        <v>939437.75</v>
      </c>
      <c r="CZ215" s="66">
        <v>19749.16</v>
      </c>
      <c r="DA215" s="33">
        <v>19749.16</v>
      </c>
      <c r="DB215" s="33">
        <v>20200.089999999385</v>
      </c>
      <c r="DC215" s="33">
        <v>0</v>
      </c>
      <c r="DF215" s="33">
        <v>-3.637978807091713E-11</v>
      </c>
      <c r="DI215" s="33">
        <v>926856.29</v>
      </c>
      <c r="DJ215" s="33">
        <v>12581.46</v>
      </c>
      <c r="DK215" s="65">
        <v>926856.29</v>
      </c>
      <c r="DL215" s="65">
        <v>12581.46</v>
      </c>
      <c r="DQ215" s="115">
        <v>3307050</v>
      </c>
      <c r="DS215" s="33">
        <v>0</v>
      </c>
      <c r="DT215" s="33">
        <v>3261619.9900000007</v>
      </c>
      <c r="DU215" s="33">
        <v>3163810.7000000007</v>
      </c>
      <c r="DV215" s="33">
        <v>97809.290000000037</v>
      </c>
      <c r="DW215" s="33">
        <v>29216.66</v>
      </c>
      <c r="DX215" s="33">
        <v>4840</v>
      </c>
      <c r="DY215" s="33">
        <v>24376.66</v>
      </c>
    </row>
    <row r="216" spans="2:129" x14ac:dyDescent="0.35">
      <c r="B216" s="87">
        <v>7052</v>
      </c>
      <c r="C216" s="115">
        <v>3307052</v>
      </c>
      <c r="D216" s="116" t="s">
        <v>549</v>
      </c>
      <c r="E216" s="116" t="s">
        <v>550</v>
      </c>
      <c r="F216" s="117"/>
      <c r="G216" s="118"/>
      <c r="H216" s="115"/>
      <c r="I216" s="115"/>
      <c r="J216" s="115"/>
      <c r="K216" s="115"/>
      <c r="L216" s="115"/>
      <c r="M216" s="115"/>
      <c r="N216" s="115"/>
      <c r="O216" s="115"/>
      <c r="P216" s="115"/>
      <c r="Q216" s="115"/>
      <c r="R216" s="115"/>
      <c r="S216" s="119"/>
      <c r="T216" s="119"/>
      <c r="U216" s="119"/>
      <c r="V216" s="119"/>
      <c r="W216" s="119"/>
      <c r="X216" s="119"/>
      <c r="Y216" s="120">
        <v>154597.18</v>
      </c>
      <c r="Z216" s="120"/>
      <c r="AA216" s="120">
        <v>-1874.16</v>
      </c>
      <c r="AB216" s="121">
        <v>23726.29</v>
      </c>
      <c r="AC216" s="121">
        <v>0</v>
      </c>
      <c r="AD216" s="121">
        <v>2475910.36</v>
      </c>
      <c r="AE216" s="121">
        <v>0</v>
      </c>
      <c r="AF216" s="121">
        <v>68005</v>
      </c>
      <c r="AG216" s="121">
        <v>2313.86</v>
      </c>
      <c r="AH216" s="121">
        <v>0</v>
      </c>
      <c r="AI216" s="121">
        <v>0</v>
      </c>
      <c r="AJ216" s="121">
        <v>31287.520000000601</v>
      </c>
      <c r="AK216" s="121">
        <v>0</v>
      </c>
      <c r="AL216" s="121">
        <v>0</v>
      </c>
      <c r="AM216" s="121">
        <v>0</v>
      </c>
      <c r="AN216" s="121">
        <v>0</v>
      </c>
      <c r="AO216" s="121">
        <v>0</v>
      </c>
      <c r="AP216" s="121">
        <v>0</v>
      </c>
      <c r="AQ216" s="121">
        <v>0</v>
      </c>
      <c r="AR216" s="121">
        <v>0</v>
      </c>
      <c r="AS216" s="121">
        <v>0</v>
      </c>
      <c r="AT216" s="121">
        <v>0</v>
      </c>
      <c r="AU216" s="121">
        <v>19999.32</v>
      </c>
      <c r="AV216" s="121">
        <v>24744</v>
      </c>
      <c r="AW216" s="121">
        <v>614164.75</v>
      </c>
      <c r="AX216" s="121">
        <v>0</v>
      </c>
      <c r="AY216" s="121">
        <v>731627.86</v>
      </c>
      <c r="AZ216" s="121">
        <v>0</v>
      </c>
      <c r="BA216" s="121">
        <v>311430.06</v>
      </c>
      <c r="BB216" s="121">
        <v>0</v>
      </c>
      <c r="BC216" s="121">
        <v>143171.84</v>
      </c>
      <c r="BD216" s="121">
        <v>36.020000000000003</v>
      </c>
      <c r="BE216" s="121">
        <v>19441.5</v>
      </c>
      <c r="BF216" s="121">
        <v>0</v>
      </c>
      <c r="BG216" s="121">
        <v>0</v>
      </c>
      <c r="BH216" s="121">
        <v>756.07</v>
      </c>
      <c r="BI216" s="121">
        <v>0</v>
      </c>
      <c r="BJ216" s="121">
        <v>1441.3</v>
      </c>
      <c r="BK216" s="121">
        <v>0</v>
      </c>
      <c r="BL216" s="121">
        <v>0</v>
      </c>
      <c r="BM216" s="121">
        <v>0</v>
      </c>
      <c r="BN216" s="121">
        <v>169905.51</v>
      </c>
      <c r="BO216" s="121">
        <v>92154.97</v>
      </c>
      <c r="BP216" s="121">
        <v>0</v>
      </c>
      <c r="BQ216" s="121">
        <v>12204.57</v>
      </c>
      <c r="BR216" s="121">
        <v>8495.2800000000007</v>
      </c>
      <c r="BS216" s="121">
        <v>3135</v>
      </c>
      <c r="BT216" s="121">
        <v>3241.2</v>
      </c>
      <c r="BU216" s="121">
        <v>28628.240000000002</v>
      </c>
      <c r="BV216" s="121">
        <v>785198</v>
      </c>
      <c r="BW216" s="121">
        <v>21278</v>
      </c>
      <c r="BX216" s="121">
        <v>151145.07</v>
      </c>
      <c r="BY216" s="121">
        <v>0</v>
      </c>
      <c r="BZ216" s="121">
        <v>0</v>
      </c>
      <c r="CA216" s="121">
        <v>1874.16</v>
      </c>
      <c r="CB216" s="121">
        <v>0</v>
      </c>
      <c r="CC216" s="121">
        <v>0</v>
      </c>
      <c r="CD216" s="121">
        <v>8384.1299999999992</v>
      </c>
      <c r="CE216" s="121">
        <v>0</v>
      </c>
      <c r="CF216" s="121">
        <v>1874.16</v>
      </c>
      <c r="CG216" s="121">
        <v>0</v>
      </c>
      <c r="CH216" s="121">
        <v>0</v>
      </c>
      <c r="CI216" s="121">
        <v>8384.1299999999992</v>
      </c>
      <c r="CJ216" s="121">
        <v>0</v>
      </c>
      <c r="CK216" s="121">
        <v>0</v>
      </c>
      <c r="CL216" s="121">
        <v>-298745.87000000029</v>
      </c>
      <c r="CM216" s="121"/>
      <c r="CN216" s="121">
        <v>0</v>
      </c>
      <c r="CO216" s="121">
        <v>0</v>
      </c>
      <c r="CP216" s="121">
        <v>0</v>
      </c>
      <c r="CQ216" s="121">
        <v>0</v>
      </c>
      <c r="CR216" s="118"/>
      <c r="CS216" s="33">
        <v>-298745.87000000029</v>
      </c>
      <c r="CT216" s="33">
        <v>0</v>
      </c>
      <c r="CU216" s="65">
        <v>-296871.71000000002</v>
      </c>
      <c r="CV216" s="65">
        <v>-1874.16</v>
      </c>
      <c r="CW216" s="65">
        <v>-1874.1600000002654</v>
      </c>
      <c r="CX216" s="33">
        <v>-1874.16</v>
      </c>
      <c r="CY216" s="33">
        <v>-298745.87</v>
      </c>
      <c r="CZ216" s="66">
        <v>0</v>
      </c>
      <c r="DA216" s="33">
        <v>0</v>
      </c>
      <c r="DB216" s="33">
        <v>14394.979999999399</v>
      </c>
      <c r="DC216" s="33">
        <v>0</v>
      </c>
      <c r="DD216" s="65">
        <v>-1874.16</v>
      </c>
      <c r="DF216" s="33">
        <v>-2.6534507924225181E-10</v>
      </c>
      <c r="DI216" s="33">
        <v>-298745.87000000029</v>
      </c>
      <c r="DJ216" s="33">
        <v>0</v>
      </c>
      <c r="DK216" s="65">
        <v>-296871.71000000002</v>
      </c>
      <c r="DL216" s="65">
        <v>-1874.16</v>
      </c>
      <c r="DQ216" s="115">
        <v>3307052</v>
      </c>
      <c r="DS216" s="33">
        <v>0</v>
      </c>
      <c r="DT216" s="33">
        <v>2645986.35</v>
      </c>
      <c r="DU216" s="33">
        <v>3099329.4000000004</v>
      </c>
      <c r="DV216" s="33">
        <v>-453343.05000000028</v>
      </c>
      <c r="DW216" s="33">
        <v>10258.289999999999</v>
      </c>
      <c r="DX216" s="33">
        <v>8384.1299999999992</v>
      </c>
      <c r="DY216" s="33">
        <v>1874.1599999999999</v>
      </c>
    </row>
    <row r="217" spans="2:129" x14ac:dyDescent="0.35">
      <c r="B217" s="87">
        <v>7062</v>
      </c>
      <c r="C217" s="115">
        <v>3307062</v>
      </c>
      <c r="D217" s="116" t="s">
        <v>551</v>
      </c>
      <c r="E217" s="116" t="s">
        <v>552</v>
      </c>
      <c r="F217" s="117"/>
      <c r="G217" s="118"/>
      <c r="H217" s="115"/>
      <c r="I217" s="115"/>
      <c r="J217" s="115"/>
      <c r="K217" s="115"/>
      <c r="L217" s="115"/>
      <c r="M217" s="115"/>
      <c r="N217" s="115"/>
      <c r="O217" s="115"/>
      <c r="P217" s="115"/>
      <c r="Q217" s="115"/>
      <c r="R217" s="115"/>
      <c r="S217" s="119"/>
      <c r="T217" s="119"/>
      <c r="U217" s="119"/>
      <c r="V217" s="119"/>
      <c r="W217" s="119"/>
      <c r="X217" s="119"/>
      <c r="Y217" s="120">
        <v>260388.37</v>
      </c>
      <c r="Z217" s="120"/>
      <c r="AA217" s="120">
        <v>-32416.09</v>
      </c>
      <c r="AB217" s="121">
        <v>35233.47</v>
      </c>
      <c r="AC217" s="121">
        <v>0</v>
      </c>
      <c r="AD217" s="121">
        <v>4190520.22</v>
      </c>
      <c r="AE217" s="121">
        <v>0</v>
      </c>
      <c r="AF217" s="121">
        <v>118578.25</v>
      </c>
      <c r="AG217" s="121">
        <v>2600</v>
      </c>
      <c r="AH217" s="121">
        <v>0</v>
      </c>
      <c r="AI217" s="121">
        <v>0</v>
      </c>
      <c r="AJ217" s="121">
        <v>627758.88</v>
      </c>
      <c r="AK217" s="121">
        <v>0</v>
      </c>
      <c r="AL217" s="121">
        <v>0</v>
      </c>
      <c r="AM217" s="121">
        <v>0</v>
      </c>
      <c r="AN217" s="121">
        <v>10864.14</v>
      </c>
      <c r="AO217" s="121">
        <v>0</v>
      </c>
      <c r="AP217" s="121">
        <v>0</v>
      </c>
      <c r="AQ217" s="121">
        <v>0</v>
      </c>
      <c r="AR217" s="121">
        <v>0</v>
      </c>
      <c r="AS217" s="121">
        <v>0</v>
      </c>
      <c r="AT217" s="121">
        <v>0</v>
      </c>
      <c r="AU217" s="121">
        <v>91650.07</v>
      </c>
      <c r="AV217" s="121">
        <v>14444</v>
      </c>
      <c r="AW217" s="121">
        <v>1239218.02</v>
      </c>
      <c r="AX217" s="121">
        <v>0</v>
      </c>
      <c r="AY217" s="121">
        <v>471543.34</v>
      </c>
      <c r="AZ217" s="121">
        <v>106483.17</v>
      </c>
      <c r="BA217" s="121">
        <v>1394826.26</v>
      </c>
      <c r="BB217" s="121">
        <v>0</v>
      </c>
      <c r="BC217" s="121">
        <v>20088.75</v>
      </c>
      <c r="BD217" s="121">
        <v>6369.26</v>
      </c>
      <c r="BE217" s="121">
        <v>29261.1</v>
      </c>
      <c r="BF217" s="121">
        <v>0</v>
      </c>
      <c r="BG217" s="121">
        <v>0</v>
      </c>
      <c r="BH217" s="121">
        <v>17858.38</v>
      </c>
      <c r="BI217" s="121">
        <v>3801.16</v>
      </c>
      <c r="BJ217" s="121">
        <v>4303.1099999999997</v>
      </c>
      <c r="BK217" s="121">
        <v>7856.82</v>
      </c>
      <c r="BL217" s="121">
        <v>158118.85999999999</v>
      </c>
      <c r="BM217" s="121">
        <v>0</v>
      </c>
      <c r="BN217" s="121">
        <v>6705.66</v>
      </c>
      <c r="BO217" s="121">
        <v>136368.76000000103</v>
      </c>
      <c r="BP217" s="121">
        <v>4545.8</v>
      </c>
      <c r="BQ217" s="121">
        <v>91525.2</v>
      </c>
      <c r="BR217" s="121">
        <v>36411.57</v>
      </c>
      <c r="BS217" s="121">
        <v>4895</v>
      </c>
      <c r="BT217" s="121">
        <v>959.5</v>
      </c>
      <c r="BU217" s="121">
        <v>51497.279999999999</v>
      </c>
      <c r="BV217" s="121">
        <v>739118.72</v>
      </c>
      <c r="BW217" s="121">
        <v>0</v>
      </c>
      <c r="BX217" s="121">
        <v>134439.87</v>
      </c>
      <c r="BY217" s="121">
        <v>0</v>
      </c>
      <c r="BZ217" s="121">
        <v>0</v>
      </c>
      <c r="CA217" s="121">
        <v>32416.09</v>
      </c>
      <c r="CB217" s="121">
        <v>0</v>
      </c>
      <c r="CC217" s="121">
        <v>0</v>
      </c>
      <c r="CD217" s="121">
        <v>10480</v>
      </c>
      <c r="CE217" s="121">
        <v>0</v>
      </c>
      <c r="CF217" s="121">
        <v>32416.09</v>
      </c>
      <c r="CG217" s="121">
        <v>0</v>
      </c>
      <c r="CH217" s="121">
        <v>0</v>
      </c>
      <c r="CI217" s="121">
        <v>10480</v>
      </c>
      <c r="CJ217" s="121">
        <v>0</v>
      </c>
      <c r="CK217" s="121">
        <v>0</v>
      </c>
      <c r="CL217" s="121">
        <v>653425.71999999962</v>
      </c>
      <c r="CM217" s="121"/>
      <c r="CN217" s="121">
        <v>0</v>
      </c>
      <c r="CO217" s="121">
        <v>0</v>
      </c>
      <c r="CP217" s="121">
        <v>0</v>
      </c>
      <c r="CQ217" s="121">
        <v>0</v>
      </c>
      <c r="CR217" s="118"/>
      <c r="CS217" s="33">
        <v>653425.71999999962</v>
      </c>
      <c r="CT217" s="33">
        <v>0</v>
      </c>
      <c r="CU217" s="65">
        <v>685841.81</v>
      </c>
      <c r="CV217" s="65">
        <v>-32416.09</v>
      </c>
      <c r="CW217" s="65">
        <v>-32416.090000000433</v>
      </c>
      <c r="CX217" s="33">
        <v>-32416.09</v>
      </c>
      <c r="CY217" s="33">
        <v>653425.72000000009</v>
      </c>
      <c r="CZ217" s="66">
        <v>0</v>
      </c>
      <c r="DA217" s="33">
        <v>0</v>
      </c>
      <c r="DB217" s="33">
        <v>0</v>
      </c>
      <c r="DC217" s="33">
        <v>-2.9999998980201781E-2</v>
      </c>
      <c r="DD217" s="65">
        <v>-32416.09</v>
      </c>
      <c r="DF217" s="33">
        <v>-4.3291947804391384E-10</v>
      </c>
      <c r="DI217" s="33">
        <v>653425.71999999962</v>
      </c>
      <c r="DJ217" s="33">
        <v>0</v>
      </c>
      <c r="DK217" s="65">
        <v>685841.81</v>
      </c>
      <c r="DL217" s="65">
        <v>-32416.09</v>
      </c>
      <c r="DQ217" s="115">
        <v>3307062</v>
      </c>
      <c r="DS217" s="33">
        <v>0</v>
      </c>
      <c r="DT217" s="33">
        <v>5091649.03</v>
      </c>
      <c r="DU217" s="33">
        <v>4698611.6800000006</v>
      </c>
      <c r="DV217" s="33">
        <v>393037.34999999963</v>
      </c>
      <c r="DW217" s="33">
        <v>42896.09</v>
      </c>
      <c r="DX217" s="33">
        <v>10480</v>
      </c>
      <c r="DY217" s="33">
        <v>32416.089999999997</v>
      </c>
    </row>
    <row r="218" spans="2:129" x14ac:dyDescent="0.35">
      <c r="B218" s="87">
        <v>2021</v>
      </c>
      <c r="C218" s="115">
        <v>3302021</v>
      </c>
      <c r="D218" s="116" t="s">
        <v>553</v>
      </c>
      <c r="E218" s="116" t="s">
        <v>554</v>
      </c>
      <c r="F218" s="117"/>
      <c r="G218" s="118"/>
      <c r="H218" s="115"/>
      <c r="I218" s="115"/>
      <c r="J218" s="115"/>
      <c r="K218" s="115"/>
      <c r="L218" s="115"/>
      <c r="M218" s="115"/>
      <c r="N218" s="115"/>
      <c r="O218" s="115"/>
      <c r="P218" s="115"/>
      <c r="Q218" s="115"/>
      <c r="R218" s="115"/>
      <c r="S218" s="119"/>
      <c r="T218" s="119"/>
      <c r="U218" s="119"/>
      <c r="V218" s="119"/>
      <c r="W218" s="119"/>
      <c r="X218" s="119"/>
      <c r="Y218" s="120">
        <v>365451.77</v>
      </c>
      <c r="Z218" s="120"/>
      <c r="AA218" s="120">
        <v>-30492.06</v>
      </c>
      <c r="AB218" s="121">
        <v>2163325.9700000002</v>
      </c>
      <c r="AC218" s="121">
        <v>0</v>
      </c>
      <c r="AD218" s="121">
        <v>52654.39</v>
      </c>
      <c r="AE218" s="121">
        <v>0</v>
      </c>
      <c r="AF218" s="121">
        <v>325096.5</v>
      </c>
      <c r="AG218" s="121">
        <v>9513.86</v>
      </c>
      <c r="AH218" s="121">
        <v>0</v>
      </c>
      <c r="AI218" s="121">
        <v>0</v>
      </c>
      <c r="AJ218" s="121">
        <v>15510.4</v>
      </c>
      <c r="AK218" s="121">
        <v>0</v>
      </c>
      <c r="AL218" s="121">
        <v>0</v>
      </c>
      <c r="AM218" s="121">
        <v>0</v>
      </c>
      <c r="AN218" s="121">
        <v>1780</v>
      </c>
      <c r="AO218" s="121">
        <v>0</v>
      </c>
      <c r="AP218" s="121">
        <v>0</v>
      </c>
      <c r="AQ218" s="121">
        <v>0</v>
      </c>
      <c r="AR218" s="121">
        <v>0</v>
      </c>
      <c r="AS218" s="121">
        <v>0</v>
      </c>
      <c r="AT218" s="121">
        <v>0</v>
      </c>
      <c r="AU218" s="121">
        <v>43543.13</v>
      </c>
      <c r="AV218" s="121">
        <v>56606</v>
      </c>
      <c r="AW218" s="121">
        <v>834266.55</v>
      </c>
      <c r="AX218" s="121">
        <v>0</v>
      </c>
      <c r="AY218" s="121">
        <v>547726.15</v>
      </c>
      <c r="AZ218" s="121">
        <v>40348.39</v>
      </c>
      <c r="BA218" s="121">
        <v>265813.40999999997</v>
      </c>
      <c r="BB218" s="121">
        <v>0</v>
      </c>
      <c r="BC218" s="121">
        <v>43403.55</v>
      </c>
      <c r="BD218" s="121">
        <v>1390.63</v>
      </c>
      <c r="BE218" s="121">
        <v>13901.66</v>
      </c>
      <c r="BF218" s="121">
        <v>0</v>
      </c>
      <c r="BG218" s="121">
        <v>0</v>
      </c>
      <c r="BH218" s="121">
        <v>91500.92</v>
      </c>
      <c r="BI218" s="121">
        <v>5691.92</v>
      </c>
      <c r="BJ218" s="121">
        <v>48290.239999999998</v>
      </c>
      <c r="BK218" s="121">
        <v>9283.77</v>
      </c>
      <c r="BL218" s="121">
        <v>41684.26</v>
      </c>
      <c r="BM218" s="121">
        <v>0</v>
      </c>
      <c r="BN218" s="121">
        <v>3263.81</v>
      </c>
      <c r="BO218" s="121">
        <v>129568.88000000085</v>
      </c>
      <c r="BP218" s="121">
        <v>38942.449999999997</v>
      </c>
      <c r="BQ218" s="121">
        <v>480.8</v>
      </c>
      <c r="BR218" s="121">
        <v>575734.19999999995</v>
      </c>
      <c r="BS218" s="121">
        <v>7516.67</v>
      </c>
      <c r="BT218" s="121">
        <v>5630</v>
      </c>
      <c r="BU218" s="121">
        <v>109367.37</v>
      </c>
      <c r="BV218" s="121">
        <v>363743.59</v>
      </c>
      <c r="BW218" s="121">
        <v>150</v>
      </c>
      <c r="BX218" s="121">
        <v>62578.1</v>
      </c>
      <c r="BY218" s="121">
        <v>0</v>
      </c>
      <c r="BZ218" s="121">
        <v>0</v>
      </c>
      <c r="CA218" s="121">
        <v>15510.43</v>
      </c>
      <c r="CB218" s="121">
        <v>0</v>
      </c>
      <c r="CC218" s="121">
        <v>0</v>
      </c>
      <c r="CD218" s="121">
        <v>7994.88</v>
      </c>
      <c r="CE218" s="121">
        <v>17203.55</v>
      </c>
      <c r="CF218" s="121">
        <v>15510.43</v>
      </c>
      <c r="CG218" s="121">
        <v>0</v>
      </c>
      <c r="CH218" s="121">
        <v>0</v>
      </c>
      <c r="CI218" s="121">
        <v>0</v>
      </c>
      <c r="CJ218" s="121">
        <v>10216.799999999999</v>
      </c>
      <c r="CK218" s="121"/>
      <c r="CL218" s="121">
        <v>-222305.73000000091</v>
      </c>
      <c r="CM218" s="121"/>
      <c r="CN218" s="121">
        <v>0</v>
      </c>
      <c r="CO218" s="121">
        <v>0</v>
      </c>
      <c r="CP218" s="121">
        <v>0</v>
      </c>
      <c r="CQ218" s="121">
        <v>0</v>
      </c>
      <c r="CR218" s="118"/>
      <c r="CS218" s="33">
        <v>-222305.73000000091</v>
      </c>
      <c r="CT218" s="33">
        <v>0</v>
      </c>
      <c r="CU218" s="65">
        <v>-206795.3</v>
      </c>
      <c r="CV218" s="65">
        <v>-15510.43</v>
      </c>
      <c r="CW218" s="65">
        <v>-15510.430000000924</v>
      </c>
      <c r="CX218" s="33">
        <v>-15510.43</v>
      </c>
      <c r="CY218" s="33">
        <v>-222305.72999999998</v>
      </c>
      <c r="CZ218" s="66">
        <v>17203.55</v>
      </c>
      <c r="DA218" s="33">
        <v>17203.55</v>
      </c>
      <c r="DB218" s="33">
        <v>0</v>
      </c>
      <c r="DC218" s="33">
        <v>-2.9999999154824764E-2</v>
      </c>
      <c r="DD218" s="65">
        <v>-15510.43</v>
      </c>
      <c r="DF218" s="33">
        <v>-9.2404661700129509E-10</v>
      </c>
      <c r="DI218" s="33">
        <v>-222305.73000000091</v>
      </c>
      <c r="DJ218" s="33">
        <v>0</v>
      </c>
      <c r="DK218" s="65">
        <v>-206795.3</v>
      </c>
      <c r="DL218" s="65">
        <v>-15510.43</v>
      </c>
      <c r="DQ218" s="115">
        <v>3302021</v>
      </c>
      <c r="DS218" s="33">
        <v>0</v>
      </c>
      <c r="DT218" s="33">
        <v>2668030.25</v>
      </c>
      <c r="DU218" s="33">
        <v>3255787.7500000009</v>
      </c>
      <c r="DV218" s="33">
        <v>-587757.50000000093</v>
      </c>
      <c r="DW218" s="33">
        <v>40708.86</v>
      </c>
      <c r="DX218" s="33">
        <v>10216.799999999999</v>
      </c>
      <c r="DY218" s="33">
        <v>30492.06</v>
      </c>
    </row>
    <row r="219" spans="2:129" x14ac:dyDescent="0.35">
      <c r="B219" s="87">
        <v>3347</v>
      </c>
      <c r="C219" s="115">
        <v>3303347</v>
      </c>
      <c r="D219" s="116" t="s">
        <v>555</v>
      </c>
      <c r="E219" s="116" t="s">
        <v>556</v>
      </c>
      <c r="F219" s="117"/>
      <c r="G219" s="118"/>
      <c r="H219" s="115"/>
      <c r="I219" s="115"/>
      <c r="J219" s="115"/>
      <c r="K219" s="115"/>
      <c r="L219" s="115"/>
      <c r="M219" s="115"/>
      <c r="N219" s="115"/>
      <c r="O219" s="115"/>
      <c r="P219" s="115"/>
      <c r="Q219" s="115"/>
      <c r="R219" s="115"/>
      <c r="S219" s="119"/>
      <c r="T219" s="119"/>
      <c r="U219" s="119"/>
      <c r="V219" s="119"/>
      <c r="W219" s="119"/>
      <c r="X219" s="119"/>
      <c r="Y219" s="120">
        <v>2480.33</v>
      </c>
      <c r="Z219" s="120"/>
      <c r="AA219" s="120">
        <v>0</v>
      </c>
      <c r="AB219" s="121">
        <v>1081184.43</v>
      </c>
      <c r="AC219" s="121">
        <v>0</v>
      </c>
      <c r="AD219" s="121">
        <v>5703.21</v>
      </c>
      <c r="AE219" s="121">
        <v>0</v>
      </c>
      <c r="AF219" s="121">
        <v>171691</v>
      </c>
      <c r="AG219" s="121">
        <v>200</v>
      </c>
      <c r="AH219" s="121">
        <v>0</v>
      </c>
      <c r="AI219" s="121">
        <v>0</v>
      </c>
      <c r="AJ219" s="121">
        <v>0</v>
      </c>
      <c r="AK219" s="121">
        <v>0</v>
      </c>
      <c r="AL219" s="121">
        <v>0</v>
      </c>
      <c r="AM219" s="121">
        <v>0</v>
      </c>
      <c r="AN219" s="121">
        <v>0</v>
      </c>
      <c r="AO219" s="121">
        <v>0</v>
      </c>
      <c r="AP219" s="121">
        <v>0</v>
      </c>
      <c r="AQ219" s="121">
        <v>0</v>
      </c>
      <c r="AR219" s="121">
        <v>0</v>
      </c>
      <c r="AS219" s="121">
        <v>0</v>
      </c>
      <c r="AT219" s="121">
        <v>0</v>
      </c>
      <c r="AU219" s="121">
        <v>19467.5</v>
      </c>
      <c r="AV219" s="121">
        <v>27390</v>
      </c>
      <c r="AW219" s="121">
        <v>248264.32000000001</v>
      </c>
      <c r="AX219" s="121">
        <v>0</v>
      </c>
      <c r="AY219" s="121">
        <v>168383.25</v>
      </c>
      <c r="AZ219" s="121">
        <v>16873.86</v>
      </c>
      <c r="BA219" s="121">
        <v>53160.32</v>
      </c>
      <c r="BB219" s="121">
        <v>0</v>
      </c>
      <c r="BC219" s="121">
        <v>24527.759999999998</v>
      </c>
      <c r="BD219" s="121">
        <v>0</v>
      </c>
      <c r="BE219" s="121">
        <v>0</v>
      </c>
      <c r="BF219" s="121">
        <v>0</v>
      </c>
      <c r="BG219" s="121">
        <v>0</v>
      </c>
      <c r="BH219" s="121">
        <v>7228.76</v>
      </c>
      <c r="BI219" s="121">
        <v>1409.52</v>
      </c>
      <c r="BJ219" s="121">
        <v>13329.3</v>
      </c>
      <c r="BK219" s="121">
        <v>864.75</v>
      </c>
      <c r="BL219" s="121">
        <v>13083.95</v>
      </c>
      <c r="BM219" s="121">
        <v>0</v>
      </c>
      <c r="BN219" s="121">
        <v>4865.96</v>
      </c>
      <c r="BO219" s="121">
        <v>43809.07</v>
      </c>
      <c r="BP219" s="121">
        <v>264.17</v>
      </c>
      <c r="BQ219" s="121">
        <v>36.06</v>
      </c>
      <c r="BR219" s="121">
        <v>14344.72</v>
      </c>
      <c r="BS219" s="121">
        <v>4895</v>
      </c>
      <c r="BT219" s="121">
        <v>750</v>
      </c>
      <c r="BU219" s="121">
        <v>80203.48</v>
      </c>
      <c r="BV219" s="121">
        <v>3541.4</v>
      </c>
      <c r="BW219" s="121">
        <v>0</v>
      </c>
      <c r="BX219" s="121">
        <v>48946.22</v>
      </c>
      <c r="BY219" s="121">
        <v>0</v>
      </c>
      <c r="BZ219" s="121">
        <v>0</v>
      </c>
      <c r="CA219" s="121">
        <v>0</v>
      </c>
      <c r="CB219" s="121">
        <v>0</v>
      </c>
      <c r="CC219" s="121">
        <v>0</v>
      </c>
      <c r="CD219" s="121">
        <v>6701.4</v>
      </c>
      <c r="CE219" s="121">
        <v>0</v>
      </c>
      <c r="CF219" s="121">
        <v>0</v>
      </c>
      <c r="CG219" s="121">
        <v>0</v>
      </c>
      <c r="CH219" s="121">
        <v>0</v>
      </c>
      <c r="CI219" s="121">
        <v>6701.4</v>
      </c>
      <c r="CJ219" s="121">
        <v>0</v>
      </c>
      <c r="CK219" s="121">
        <v>0</v>
      </c>
      <c r="CL219" s="121">
        <v>559334.59999999986</v>
      </c>
      <c r="CM219" s="121"/>
      <c r="CN219" s="121">
        <v>0</v>
      </c>
      <c r="CO219" s="121">
        <v>0</v>
      </c>
      <c r="CP219" s="121">
        <v>0</v>
      </c>
      <c r="CQ219" s="121">
        <v>0</v>
      </c>
      <c r="CR219" s="118"/>
      <c r="CS219" s="33">
        <v>559334.59999999986</v>
      </c>
      <c r="CT219" s="33">
        <v>0</v>
      </c>
      <c r="CU219" s="65">
        <v>559334.6</v>
      </c>
      <c r="CV219" s="65">
        <v>0</v>
      </c>
      <c r="CW219" s="65">
        <v>0</v>
      </c>
      <c r="CX219" s="33">
        <v>0</v>
      </c>
      <c r="CY219" s="33">
        <v>559334.6</v>
      </c>
      <c r="CZ219" s="66">
        <v>0</v>
      </c>
      <c r="DA219" s="33">
        <v>0</v>
      </c>
      <c r="DB219" s="33">
        <v>0</v>
      </c>
      <c r="DC219" s="33">
        <v>0</v>
      </c>
      <c r="DF219" s="33">
        <v>-1.1641532182693481E-10</v>
      </c>
      <c r="DI219" s="33">
        <v>559334.59999999986</v>
      </c>
      <c r="DJ219" s="33">
        <v>0</v>
      </c>
      <c r="DK219" s="65">
        <v>559334.6</v>
      </c>
      <c r="DL219" s="65">
        <v>0</v>
      </c>
      <c r="DQ219" s="115">
        <v>3303347</v>
      </c>
      <c r="DS219" s="33">
        <v>0</v>
      </c>
      <c r="DT219" s="33">
        <v>1305636.1399999999</v>
      </c>
      <c r="DU219" s="33">
        <v>748781.87</v>
      </c>
      <c r="DV219" s="33">
        <v>556854.2699999999</v>
      </c>
      <c r="DW219" s="33">
        <v>6701.4</v>
      </c>
      <c r="DX219" s="33">
        <v>6701.4</v>
      </c>
      <c r="DY219" s="33">
        <v>0</v>
      </c>
    </row>
    <row r="220" spans="2:129" x14ac:dyDescent="0.35">
      <c r="B220" s="87">
        <v>7037</v>
      </c>
      <c r="C220" s="115">
        <v>3307037</v>
      </c>
      <c r="D220" s="116" t="s">
        <v>557</v>
      </c>
      <c r="E220" s="116" t="s">
        <v>558</v>
      </c>
      <c r="F220" s="117"/>
      <c r="G220" s="118"/>
      <c r="H220" s="115"/>
      <c r="I220" s="115"/>
      <c r="J220" s="115"/>
      <c r="K220" s="115"/>
      <c r="L220" s="115"/>
      <c r="M220" s="115"/>
      <c r="N220" s="115"/>
      <c r="O220" s="115"/>
      <c r="P220" s="115"/>
      <c r="Q220" s="115"/>
      <c r="R220" s="115"/>
      <c r="S220" s="119"/>
      <c r="T220" s="119"/>
      <c r="U220" s="119"/>
      <c r="V220" s="119"/>
      <c r="W220" s="119"/>
      <c r="X220" s="119"/>
      <c r="Y220" s="120"/>
      <c r="Z220" s="120">
        <v>0</v>
      </c>
      <c r="AA220" s="120">
        <v>-37159.519999999997</v>
      </c>
      <c r="AB220" s="121">
        <v>0</v>
      </c>
      <c r="AC220" s="121">
        <v>0</v>
      </c>
      <c r="AD220" s="121">
        <v>0</v>
      </c>
      <c r="AE220" s="121">
        <v>0</v>
      </c>
      <c r="AF220" s="121">
        <v>0</v>
      </c>
      <c r="AG220" s="121">
        <v>0</v>
      </c>
      <c r="AH220" s="121">
        <v>0</v>
      </c>
      <c r="AI220" s="121">
        <v>0</v>
      </c>
      <c r="AJ220" s="121">
        <v>38342.519999999997</v>
      </c>
      <c r="AK220" s="121">
        <v>0</v>
      </c>
      <c r="AL220" s="121">
        <v>0</v>
      </c>
      <c r="AM220" s="121">
        <v>0</v>
      </c>
      <c r="AN220" s="121">
        <v>0</v>
      </c>
      <c r="AO220" s="121">
        <v>0</v>
      </c>
      <c r="AP220" s="121">
        <v>0</v>
      </c>
      <c r="AQ220" s="121">
        <v>0</v>
      </c>
      <c r="AR220" s="121">
        <v>0</v>
      </c>
      <c r="AS220" s="121">
        <v>0</v>
      </c>
      <c r="AT220" s="121">
        <v>0</v>
      </c>
      <c r="AU220" s="121">
        <v>0</v>
      </c>
      <c r="AV220" s="121">
        <v>0</v>
      </c>
      <c r="AW220" s="121">
        <v>25859.52</v>
      </c>
      <c r="AX220" s="121">
        <v>0</v>
      </c>
      <c r="AY220" s="121">
        <v>0</v>
      </c>
      <c r="AZ220" s="121">
        <v>0</v>
      </c>
      <c r="BA220" s="121">
        <v>0</v>
      </c>
      <c r="BB220" s="121">
        <v>0</v>
      </c>
      <c r="BC220" s="121">
        <v>0</v>
      </c>
      <c r="BD220" s="121">
        <v>0</v>
      </c>
      <c r="BE220" s="121">
        <v>0</v>
      </c>
      <c r="BF220" s="121">
        <v>0</v>
      </c>
      <c r="BG220" s="121">
        <v>0</v>
      </c>
      <c r="BH220" s="121">
        <v>0</v>
      </c>
      <c r="BI220" s="121">
        <v>0</v>
      </c>
      <c r="BJ220" s="121">
        <v>0</v>
      </c>
      <c r="BK220" s="121">
        <v>87.9</v>
      </c>
      <c r="BL220" s="121">
        <v>0</v>
      </c>
      <c r="BM220" s="121">
        <v>0</v>
      </c>
      <c r="BN220" s="121">
        <v>0</v>
      </c>
      <c r="BO220" s="121">
        <v>0</v>
      </c>
      <c r="BP220" s="121">
        <v>0</v>
      </c>
      <c r="BQ220" s="121">
        <v>0</v>
      </c>
      <c r="BR220" s="121">
        <v>0</v>
      </c>
      <c r="BS220" s="121">
        <v>4895</v>
      </c>
      <c r="BT220" s="121">
        <v>0</v>
      </c>
      <c r="BU220" s="121">
        <v>0</v>
      </c>
      <c r="BV220" s="121">
        <v>0</v>
      </c>
      <c r="BW220" s="121">
        <v>0</v>
      </c>
      <c r="BX220" s="121">
        <v>0</v>
      </c>
      <c r="BY220" s="121">
        <v>0</v>
      </c>
      <c r="BZ220" s="121">
        <v>0</v>
      </c>
      <c r="CA220" s="121">
        <v>37159.519999999997</v>
      </c>
      <c r="CB220" s="121">
        <v>0</v>
      </c>
      <c r="CC220" s="121">
        <v>0</v>
      </c>
      <c r="CD220" s="121">
        <v>0</v>
      </c>
      <c r="CE220" s="121">
        <v>0</v>
      </c>
      <c r="CF220" s="121">
        <v>37159.519999999997</v>
      </c>
      <c r="CG220" s="121">
        <v>0</v>
      </c>
      <c r="CH220" s="121">
        <v>0</v>
      </c>
      <c r="CI220" s="121">
        <v>0</v>
      </c>
      <c r="CJ220" s="121">
        <v>0</v>
      </c>
      <c r="CK220" s="121">
        <v>0</v>
      </c>
      <c r="CL220" s="121">
        <v>-29659.420000000006</v>
      </c>
      <c r="CM220" s="121"/>
      <c r="CN220" s="121">
        <v>0</v>
      </c>
      <c r="CO220" s="121">
        <v>0</v>
      </c>
      <c r="CP220" s="121">
        <v>0</v>
      </c>
      <c r="CQ220" s="121">
        <v>0</v>
      </c>
      <c r="CR220" s="118"/>
      <c r="CS220" s="33">
        <v>-29659.420000000006</v>
      </c>
      <c r="CT220" s="33">
        <v>0</v>
      </c>
      <c r="CU220" s="65">
        <v>7500.1</v>
      </c>
      <c r="CV220" s="65">
        <v>-37159.519999999997</v>
      </c>
      <c r="CW220" s="65">
        <v>-37159.520000000004</v>
      </c>
      <c r="CX220" s="33">
        <v>-37159.519999999997</v>
      </c>
      <c r="CY220" s="33">
        <v>-29659.42</v>
      </c>
      <c r="CZ220" s="66">
        <v>0</v>
      </c>
      <c r="DA220" s="33">
        <v>0</v>
      </c>
      <c r="DB220" s="33">
        <v>0</v>
      </c>
      <c r="DC220" s="33">
        <v>0</v>
      </c>
      <c r="DD220" s="65">
        <v>-37159.519999999997</v>
      </c>
      <c r="DF220" s="33">
        <v>0</v>
      </c>
      <c r="DI220" s="33">
        <v>-29659.420000000006</v>
      </c>
      <c r="DJ220" s="33">
        <v>0</v>
      </c>
      <c r="DK220" s="65">
        <v>7500.1</v>
      </c>
      <c r="DL220" s="65">
        <v>-37159.519999999997</v>
      </c>
      <c r="DQ220" s="115">
        <v>3307037</v>
      </c>
      <c r="DS220" s="33">
        <v>0</v>
      </c>
      <c r="DT220" s="33">
        <v>38342.519999999997</v>
      </c>
      <c r="DU220" s="33">
        <v>68001.94</v>
      </c>
      <c r="DV220" s="33">
        <v>-29659.420000000006</v>
      </c>
      <c r="DW220" s="33">
        <v>37159.519999999997</v>
      </c>
      <c r="DX220" s="33">
        <v>0</v>
      </c>
      <c r="DY220" s="33">
        <v>37159.519999999997</v>
      </c>
    </row>
    <row r="221" spans="2:129" x14ac:dyDescent="0.35">
      <c r="B221" s="87">
        <v>2288</v>
      </c>
      <c r="C221" s="115">
        <v>3302288</v>
      </c>
      <c r="D221" s="116"/>
      <c r="E221" s="116" t="s">
        <v>559</v>
      </c>
      <c r="F221" s="117"/>
      <c r="G221" s="118"/>
      <c r="H221" s="115"/>
      <c r="I221" s="115"/>
      <c r="J221" s="115"/>
      <c r="K221" s="115"/>
      <c r="L221" s="115"/>
      <c r="M221" s="115"/>
      <c r="N221" s="115"/>
      <c r="O221" s="115"/>
      <c r="P221" s="115"/>
      <c r="Q221" s="115"/>
      <c r="R221" s="115"/>
      <c r="S221" s="119"/>
      <c r="T221" s="119"/>
      <c r="U221" s="119"/>
      <c r="V221" s="119"/>
      <c r="W221" s="119"/>
      <c r="X221" s="119"/>
      <c r="Y221" s="120"/>
      <c r="Z221" s="120">
        <v>0</v>
      </c>
      <c r="AA221" s="120">
        <v>0</v>
      </c>
      <c r="AB221" s="121">
        <v>1906545.67</v>
      </c>
      <c r="AC221" s="121">
        <v>0</v>
      </c>
      <c r="AD221" s="121">
        <v>154643.88</v>
      </c>
      <c r="AE221" s="121">
        <v>0</v>
      </c>
      <c r="AF221" s="121">
        <v>98940</v>
      </c>
      <c r="AG221" s="121">
        <v>3313.86</v>
      </c>
      <c r="AH221" s="121">
        <v>0</v>
      </c>
      <c r="AI221" s="121">
        <v>0</v>
      </c>
      <c r="AJ221" s="121">
        <v>0</v>
      </c>
      <c r="AK221" s="121">
        <v>0</v>
      </c>
      <c r="AL221" s="121">
        <v>0</v>
      </c>
      <c r="AM221" s="121">
        <v>0</v>
      </c>
      <c r="AN221" s="121">
        <v>0</v>
      </c>
      <c r="AO221" s="121">
        <v>0</v>
      </c>
      <c r="AP221" s="121">
        <v>0</v>
      </c>
      <c r="AQ221" s="121">
        <v>0</v>
      </c>
      <c r="AR221" s="121">
        <v>0</v>
      </c>
      <c r="AS221" s="121">
        <v>0</v>
      </c>
      <c r="AT221" s="121">
        <v>0</v>
      </c>
      <c r="AU221" s="121">
        <v>14180.25</v>
      </c>
      <c r="AV221" s="121">
        <v>69822</v>
      </c>
      <c r="AW221" s="121">
        <v>0</v>
      </c>
      <c r="AX221" s="121">
        <v>0</v>
      </c>
      <c r="AY221" s="121">
        <v>0</v>
      </c>
      <c r="AZ221" s="121">
        <v>0</v>
      </c>
      <c r="BA221" s="121">
        <v>0</v>
      </c>
      <c r="BB221" s="121">
        <v>0</v>
      </c>
      <c r="BC221" s="121">
        <v>0</v>
      </c>
      <c r="BD221" s="121">
        <v>0</v>
      </c>
      <c r="BE221" s="121">
        <v>0</v>
      </c>
      <c r="BF221" s="121">
        <v>0</v>
      </c>
      <c r="BG221" s="121">
        <v>0</v>
      </c>
      <c r="BH221" s="121">
        <v>0</v>
      </c>
      <c r="BI221" s="121">
        <v>0</v>
      </c>
      <c r="BJ221" s="121">
        <v>0</v>
      </c>
      <c r="BK221" s="121">
        <v>0</v>
      </c>
      <c r="BL221" s="121">
        <v>0</v>
      </c>
      <c r="BM221" s="121">
        <v>0</v>
      </c>
      <c r="BN221" s="121">
        <v>0</v>
      </c>
      <c r="BO221" s="121">
        <v>0</v>
      </c>
      <c r="BP221" s="121">
        <v>0</v>
      </c>
      <c r="BQ221" s="121">
        <v>0</v>
      </c>
      <c r="BR221" s="121">
        <v>0</v>
      </c>
      <c r="BS221" s="121">
        <v>0</v>
      </c>
      <c r="BT221" s="121">
        <v>0</v>
      </c>
      <c r="BU221" s="121">
        <v>0</v>
      </c>
      <c r="BV221" s="121">
        <v>0</v>
      </c>
      <c r="BW221" s="121">
        <v>0</v>
      </c>
      <c r="BX221" s="121">
        <v>0</v>
      </c>
      <c r="BY221" s="121">
        <v>0</v>
      </c>
      <c r="BZ221" s="121">
        <v>0</v>
      </c>
      <c r="CA221" s="121">
        <v>0</v>
      </c>
      <c r="CB221" s="121">
        <v>0</v>
      </c>
      <c r="CC221" s="121">
        <v>0</v>
      </c>
      <c r="CD221" s="121">
        <v>0</v>
      </c>
      <c r="CE221" s="121">
        <v>0</v>
      </c>
      <c r="CF221" s="121">
        <v>0</v>
      </c>
      <c r="CG221" s="121">
        <v>0</v>
      </c>
      <c r="CH221" s="121">
        <v>0</v>
      </c>
      <c r="CI221" s="121">
        <v>0</v>
      </c>
      <c r="CJ221" s="121">
        <v>0</v>
      </c>
      <c r="CK221" s="121">
        <v>0</v>
      </c>
      <c r="CL221" s="121"/>
      <c r="CM221" s="121"/>
      <c r="CN221" s="121">
        <v>0</v>
      </c>
      <c r="CO221" s="121">
        <v>0</v>
      </c>
      <c r="CP221" s="121">
        <v>0</v>
      </c>
      <c r="CQ221" s="121">
        <v>0</v>
      </c>
      <c r="CR221" s="118"/>
      <c r="CT221" s="33">
        <v>0</v>
      </c>
      <c r="CW221" s="65">
        <v>0</v>
      </c>
      <c r="CX221" s="33">
        <v>0</v>
      </c>
      <c r="CY221" s="33">
        <v>0</v>
      </c>
      <c r="CZ221" s="66">
        <v>0</v>
      </c>
      <c r="DA221" s="33">
        <v>0</v>
      </c>
      <c r="DB221" s="33">
        <v>2247445.6599999997</v>
      </c>
      <c r="DC221" s="33">
        <v>0</v>
      </c>
      <c r="DF221" s="33">
        <v>0</v>
      </c>
      <c r="DJ221" s="33">
        <v>0</v>
      </c>
      <c r="DQ221" s="115">
        <v>3302288</v>
      </c>
      <c r="DS221" s="33">
        <v>0</v>
      </c>
      <c r="DT221" s="33">
        <v>2247445.6599999997</v>
      </c>
      <c r="DU221" s="33">
        <v>0</v>
      </c>
      <c r="DV221" s="33">
        <v>2247445.6599999997</v>
      </c>
      <c r="DW221" s="33">
        <v>0</v>
      </c>
      <c r="DX221" s="33">
        <v>0</v>
      </c>
      <c r="DY221" s="33">
        <v>0</v>
      </c>
    </row>
    <row r="222" spans="2:129" x14ac:dyDescent="0.35">
      <c r="B222" s="87">
        <v>5415</v>
      </c>
      <c r="C222" s="115">
        <v>3305415</v>
      </c>
      <c r="D222" s="116"/>
      <c r="E222" s="116" t="s">
        <v>560</v>
      </c>
      <c r="F222" s="117"/>
      <c r="G222" s="118"/>
      <c r="H222" s="115"/>
      <c r="I222" s="115"/>
      <c r="J222" s="115"/>
      <c r="K222" s="115"/>
      <c r="L222" s="115"/>
      <c r="M222" s="115"/>
      <c r="N222" s="115"/>
      <c r="O222" s="115"/>
      <c r="P222" s="115"/>
      <c r="Q222" s="115"/>
      <c r="R222" s="115"/>
      <c r="S222" s="119"/>
      <c r="T222" s="119"/>
      <c r="U222" s="119"/>
      <c r="V222" s="119"/>
      <c r="W222" s="119"/>
      <c r="X222" s="119"/>
      <c r="Y222" s="120"/>
      <c r="Z222" s="120">
        <v>0</v>
      </c>
      <c r="AA222" s="120">
        <v>0</v>
      </c>
      <c r="AB222" s="121">
        <v>5337846.4800000004</v>
      </c>
      <c r="AC222" s="121">
        <v>0</v>
      </c>
      <c r="AD222" s="121">
        <v>59763.63</v>
      </c>
      <c r="AE222" s="121">
        <v>0</v>
      </c>
      <c r="AF222" s="121">
        <v>195952.5</v>
      </c>
      <c r="AG222" s="121">
        <v>20569.3</v>
      </c>
      <c r="AH222" s="121">
        <v>0</v>
      </c>
      <c r="AI222" s="121">
        <v>0</v>
      </c>
      <c r="AJ222" s="121">
        <v>0</v>
      </c>
      <c r="AK222" s="121">
        <v>0</v>
      </c>
      <c r="AL222" s="121">
        <v>0</v>
      </c>
      <c r="AM222" s="121">
        <v>0</v>
      </c>
      <c r="AN222" s="121">
        <v>0</v>
      </c>
      <c r="AO222" s="121">
        <v>0</v>
      </c>
      <c r="AP222" s="121">
        <v>0</v>
      </c>
      <c r="AQ222" s="121">
        <v>0</v>
      </c>
      <c r="AR222" s="121">
        <v>0</v>
      </c>
      <c r="AS222" s="121">
        <v>0</v>
      </c>
      <c r="AT222" s="121">
        <v>0</v>
      </c>
      <c r="AU222" s="121">
        <v>36521.629999999997</v>
      </c>
      <c r="AV222" s="121">
        <v>0</v>
      </c>
      <c r="AW222" s="121">
        <v>0</v>
      </c>
      <c r="AX222" s="121">
        <v>0</v>
      </c>
      <c r="AY222" s="121">
        <v>0</v>
      </c>
      <c r="AZ222" s="121">
        <v>0</v>
      </c>
      <c r="BA222" s="121">
        <v>0</v>
      </c>
      <c r="BB222" s="121">
        <v>0</v>
      </c>
      <c r="BC222" s="121">
        <v>0</v>
      </c>
      <c r="BD222" s="121">
        <v>0</v>
      </c>
      <c r="BE222" s="121">
        <v>0</v>
      </c>
      <c r="BF222" s="121">
        <v>0</v>
      </c>
      <c r="BG222" s="121">
        <v>0</v>
      </c>
      <c r="BH222" s="121">
        <v>0</v>
      </c>
      <c r="BI222" s="121">
        <v>0</v>
      </c>
      <c r="BJ222" s="121">
        <v>0</v>
      </c>
      <c r="BK222" s="121">
        <v>0</v>
      </c>
      <c r="BL222" s="121">
        <v>0</v>
      </c>
      <c r="BM222" s="121">
        <v>0</v>
      </c>
      <c r="BN222" s="121">
        <v>0</v>
      </c>
      <c r="BO222" s="121">
        <v>0</v>
      </c>
      <c r="BP222" s="121">
        <v>0</v>
      </c>
      <c r="BQ222" s="121">
        <v>0</v>
      </c>
      <c r="BR222" s="121">
        <v>0</v>
      </c>
      <c r="BS222" s="121">
        <v>0</v>
      </c>
      <c r="BT222" s="121">
        <v>0</v>
      </c>
      <c r="BU222" s="121">
        <v>0</v>
      </c>
      <c r="BV222" s="121">
        <v>0</v>
      </c>
      <c r="BW222" s="121">
        <v>0</v>
      </c>
      <c r="BX222" s="121">
        <v>0</v>
      </c>
      <c r="BY222" s="121">
        <v>0</v>
      </c>
      <c r="BZ222" s="121">
        <v>0</v>
      </c>
      <c r="CA222" s="121">
        <v>0</v>
      </c>
      <c r="CB222" s="121">
        <v>0</v>
      </c>
      <c r="CC222" s="121">
        <v>0</v>
      </c>
      <c r="CD222" s="121">
        <v>0</v>
      </c>
      <c r="CE222" s="121">
        <v>0</v>
      </c>
      <c r="CF222" s="121">
        <v>0</v>
      </c>
      <c r="CG222" s="121">
        <v>0</v>
      </c>
      <c r="CH222" s="121">
        <v>0</v>
      </c>
      <c r="CI222" s="121">
        <v>0</v>
      </c>
      <c r="CJ222" s="121">
        <v>0</v>
      </c>
      <c r="CK222" s="121">
        <v>0</v>
      </c>
      <c r="CL222" s="121"/>
      <c r="CM222" s="121"/>
      <c r="CN222" s="121">
        <v>0</v>
      </c>
      <c r="CO222" s="121">
        <v>0</v>
      </c>
      <c r="CP222" s="121">
        <v>0</v>
      </c>
      <c r="CQ222" s="121">
        <v>0</v>
      </c>
      <c r="CR222" s="118"/>
      <c r="CT222" s="33">
        <v>0</v>
      </c>
      <c r="CW222" s="65">
        <v>0</v>
      </c>
      <c r="CX222" s="33">
        <v>0</v>
      </c>
      <c r="CY222" s="33">
        <v>0</v>
      </c>
      <c r="CZ222" s="66">
        <v>0</v>
      </c>
      <c r="DA222" s="33">
        <v>0</v>
      </c>
      <c r="DB222" s="33">
        <v>5650653.54</v>
      </c>
      <c r="DC222" s="33">
        <v>0</v>
      </c>
      <c r="DF222" s="33">
        <v>0</v>
      </c>
      <c r="DJ222" s="33">
        <v>0</v>
      </c>
      <c r="DQ222" s="115">
        <v>3305415</v>
      </c>
      <c r="DS222" s="33">
        <v>0</v>
      </c>
      <c r="DT222" s="33">
        <v>5650653.54</v>
      </c>
      <c r="DU222" s="33">
        <v>0</v>
      </c>
      <c r="DV222" s="33">
        <v>5650653.54</v>
      </c>
      <c r="DW222" s="33">
        <v>0</v>
      </c>
      <c r="DX222" s="33">
        <v>0</v>
      </c>
      <c r="DY222" s="33">
        <v>0</v>
      </c>
    </row>
    <row r="223" spans="2:129" x14ac:dyDescent="0.35">
      <c r="B223" s="87">
        <v>2119</v>
      </c>
      <c r="C223" s="115">
        <v>3302119</v>
      </c>
      <c r="D223" s="116"/>
      <c r="E223" s="116" t="s">
        <v>561</v>
      </c>
      <c r="F223" s="117"/>
      <c r="G223" s="118"/>
      <c r="H223" s="115"/>
      <c r="I223" s="115"/>
      <c r="J223" s="115"/>
      <c r="K223" s="115"/>
      <c r="L223" s="115"/>
      <c r="M223" s="115"/>
      <c r="N223" s="115"/>
      <c r="O223" s="115"/>
      <c r="P223" s="115"/>
      <c r="Q223" s="115"/>
      <c r="R223" s="115"/>
      <c r="S223" s="119"/>
      <c r="T223" s="119"/>
      <c r="U223" s="119"/>
      <c r="V223" s="119"/>
      <c r="W223" s="119"/>
      <c r="X223" s="119"/>
      <c r="Y223" s="120"/>
      <c r="Z223" s="120">
        <v>0</v>
      </c>
      <c r="AA223" s="120">
        <v>0</v>
      </c>
      <c r="AB223" s="121">
        <v>2167657.38</v>
      </c>
      <c r="AC223" s="121">
        <v>0</v>
      </c>
      <c r="AD223" s="121">
        <v>49876.25</v>
      </c>
      <c r="AE223" s="121">
        <v>0</v>
      </c>
      <c r="AF223" s="121">
        <v>201882.75</v>
      </c>
      <c r="AG223" s="121">
        <v>400</v>
      </c>
      <c r="AH223" s="121">
        <v>0</v>
      </c>
      <c r="AI223" s="121">
        <v>0</v>
      </c>
      <c r="AJ223" s="121">
        <v>0</v>
      </c>
      <c r="AK223" s="121">
        <v>0</v>
      </c>
      <c r="AL223" s="121">
        <v>0</v>
      </c>
      <c r="AM223" s="121">
        <v>0</v>
      </c>
      <c r="AN223" s="121">
        <v>0</v>
      </c>
      <c r="AO223" s="121">
        <v>0</v>
      </c>
      <c r="AP223" s="121">
        <v>0</v>
      </c>
      <c r="AQ223" s="121">
        <v>0</v>
      </c>
      <c r="AR223" s="121">
        <v>0</v>
      </c>
      <c r="AS223" s="121">
        <v>0</v>
      </c>
      <c r="AT223" s="121">
        <v>0</v>
      </c>
      <c r="AU223" s="121">
        <v>12637.51</v>
      </c>
      <c r="AV223" s="121">
        <v>56647</v>
      </c>
      <c r="AW223" s="121">
        <v>0</v>
      </c>
      <c r="AX223" s="121">
        <v>0</v>
      </c>
      <c r="AY223" s="121">
        <v>0</v>
      </c>
      <c r="AZ223" s="121">
        <v>0</v>
      </c>
      <c r="BA223" s="121">
        <v>0</v>
      </c>
      <c r="BB223" s="121">
        <v>0</v>
      </c>
      <c r="BC223" s="121">
        <v>0</v>
      </c>
      <c r="BD223" s="121">
        <v>0</v>
      </c>
      <c r="BE223" s="121">
        <v>0</v>
      </c>
      <c r="BF223" s="121">
        <v>0</v>
      </c>
      <c r="BG223" s="121">
        <v>0</v>
      </c>
      <c r="BH223" s="121">
        <v>0</v>
      </c>
      <c r="BI223" s="121">
        <v>0</v>
      </c>
      <c r="BJ223" s="121">
        <v>0</v>
      </c>
      <c r="BK223" s="121">
        <v>0</v>
      </c>
      <c r="BL223" s="121">
        <v>0</v>
      </c>
      <c r="BM223" s="121">
        <v>0</v>
      </c>
      <c r="BN223" s="121">
        <v>0</v>
      </c>
      <c r="BO223" s="121">
        <v>0</v>
      </c>
      <c r="BP223" s="121">
        <v>0</v>
      </c>
      <c r="BQ223" s="121">
        <v>0</v>
      </c>
      <c r="BR223" s="121">
        <v>0</v>
      </c>
      <c r="BS223" s="121">
        <v>0</v>
      </c>
      <c r="BT223" s="121">
        <v>0</v>
      </c>
      <c r="BU223" s="121">
        <v>0</v>
      </c>
      <c r="BV223" s="121">
        <v>0</v>
      </c>
      <c r="BW223" s="121">
        <v>0</v>
      </c>
      <c r="BX223" s="121">
        <v>0</v>
      </c>
      <c r="BY223" s="121">
        <v>0</v>
      </c>
      <c r="BZ223" s="121">
        <v>0</v>
      </c>
      <c r="CA223" s="121">
        <v>0</v>
      </c>
      <c r="CB223" s="121">
        <v>0</v>
      </c>
      <c r="CC223" s="121">
        <v>0</v>
      </c>
      <c r="CD223" s="121">
        <v>0</v>
      </c>
      <c r="CE223" s="121">
        <v>0</v>
      </c>
      <c r="CF223" s="121">
        <v>0</v>
      </c>
      <c r="CG223" s="121">
        <v>0</v>
      </c>
      <c r="CH223" s="121">
        <v>0</v>
      </c>
      <c r="CI223" s="121">
        <v>0</v>
      </c>
      <c r="CJ223" s="121">
        <v>0</v>
      </c>
      <c r="CK223" s="121">
        <v>0</v>
      </c>
      <c r="CL223" s="121"/>
      <c r="CM223" s="121"/>
      <c r="CN223" s="121">
        <v>0</v>
      </c>
      <c r="CO223" s="121">
        <v>0</v>
      </c>
      <c r="CP223" s="121">
        <v>0</v>
      </c>
      <c r="CQ223" s="121">
        <v>0</v>
      </c>
      <c r="CR223" s="118"/>
      <c r="CT223" s="33">
        <v>0</v>
      </c>
      <c r="CW223" s="65">
        <v>0</v>
      </c>
      <c r="CX223" s="33">
        <v>0</v>
      </c>
      <c r="CY223" s="33">
        <v>0</v>
      </c>
      <c r="CZ223" s="66">
        <v>0</v>
      </c>
      <c r="DA223" s="33">
        <v>0</v>
      </c>
      <c r="DB223" s="33">
        <v>2489100.8899999997</v>
      </c>
      <c r="DC223" s="33">
        <v>0</v>
      </c>
      <c r="DF223" s="33">
        <v>0</v>
      </c>
      <c r="DJ223" s="33">
        <v>0</v>
      </c>
      <c r="DQ223" s="115">
        <v>3302119</v>
      </c>
      <c r="DS223" s="33">
        <v>0</v>
      </c>
      <c r="DT223" s="33">
        <v>2489100.8899999997</v>
      </c>
      <c r="DU223" s="33">
        <v>0</v>
      </c>
      <c r="DV223" s="33">
        <v>2489100.8899999997</v>
      </c>
      <c r="DW223" s="33">
        <v>0</v>
      </c>
      <c r="DX223" s="33">
        <v>0</v>
      </c>
      <c r="DY223" s="33">
        <v>0</v>
      </c>
    </row>
    <row r="224" spans="2:129" x14ac:dyDescent="0.35">
      <c r="B224" s="87">
        <v>2018</v>
      </c>
      <c r="C224" s="115">
        <v>3302018</v>
      </c>
      <c r="D224" s="116"/>
      <c r="E224" s="116" t="s">
        <v>562</v>
      </c>
      <c r="F224" s="117"/>
      <c r="G224" s="118"/>
      <c r="H224" s="115"/>
      <c r="I224" s="115"/>
      <c r="J224" s="115"/>
      <c r="K224" s="115"/>
      <c r="L224" s="115"/>
      <c r="M224" s="115"/>
      <c r="N224" s="115"/>
      <c r="O224" s="115"/>
      <c r="P224" s="115"/>
      <c r="Q224" s="115"/>
      <c r="R224" s="115"/>
      <c r="S224" s="119"/>
      <c r="T224" s="119"/>
      <c r="U224" s="119"/>
      <c r="V224" s="119"/>
      <c r="W224" s="119"/>
      <c r="X224" s="119"/>
      <c r="Y224" s="120"/>
      <c r="Z224" s="120">
        <v>0</v>
      </c>
      <c r="AA224" s="120">
        <v>0</v>
      </c>
      <c r="AB224" s="121">
        <v>1738084.75</v>
      </c>
      <c r="AC224" s="121">
        <v>0</v>
      </c>
      <c r="AD224" s="121">
        <v>23808.75</v>
      </c>
      <c r="AE224" s="121">
        <v>0</v>
      </c>
      <c r="AF224" s="121">
        <v>83018.75</v>
      </c>
      <c r="AG224" s="121">
        <v>600</v>
      </c>
      <c r="AH224" s="121">
        <v>0</v>
      </c>
      <c r="AI224" s="121">
        <v>0</v>
      </c>
      <c r="AJ224" s="121">
        <v>0</v>
      </c>
      <c r="AK224" s="121">
        <v>0</v>
      </c>
      <c r="AL224" s="121">
        <v>0</v>
      </c>
      <c r="AM224" s="121">
        <v>0</v>
      </c>
      <c r="AN224" s="121">
        <v>0</v>
      </c>
      <c r="AO224" s="121">
        <v>0</v>
      </c>
      <c r="AP224" s="121">
        <v>0</v>
      </c>
      <c r="AQ224" s="121">
        <v>0</v>
      </c>
      <c r="AR224" s="121">
        <v>0</v>
      </c>
      <c r="AS224" s="121">
        <v>0</v>
      </c>
      <c r="AT224" s="121">
        <v>0</v>
      </c>
      <c r="AU224" s="121">
        <v>22980</v>
      </c>
      <c r="AV224" s="121">
        <v>18662</v>
      </c>
      <c r="AW224" s="121">
        <v>0</v>
      </c>
      <c r="AX224" s="121">
        <v>0</v>
      </c>
      <c r="AY224" s="121">
        <v>0</v>
      </c>
      <c r="AZ224" s="121">
        <v>0</v>
      </c>
      <c r="BA224" s="121">
        <v>0</v>
      </c>
      <c r="BB224" s="121">
        <v>0</v>
      </c>
      <c r="BC224" s="121">
        <v>0</v>
      </c>
      <c r="BD224" s="121">
        <v>0</v>
      </c>
      <c r="BE224" s="121">
        <v>0</v>
      </c>
      <c r="BF224" s="121">
        <v>0</v>
      </c>
      <c r="BG224" s="121">
        <v>0</v>
      </c>
      <c r="BH224" s="121">
        <v>0</v>
      </c>
      <c r="BI224" s="121">
        <v>0</v>
      </c>
      <c r="BJ224" s="121">
        <v>0</v>
      </c>
      <c r="BK224" s="121">
        <v>0</v>
      </c>
      <c r="BL224" s="121">
        <v>0</v>
      </c>
      <c r="BM224" s="121">
        <v>0</v>
      </c>
      <c r="BN224" s="121">
        <v>0</v>
      </c>
      <c r="BO224" s="121">
        <v>0</v>
      </c>
      <c r="BP224" s="121">
        <v>0</v>
      </c>
      <c r="BQ224" s="121">
        <v>0</v>
      </c>
      <c r="BR224" s="121">
        <v>0</v>
      </c>
      <c r="BS224" s="121">
        <v>0</v>
      </c>
      <c r="BT224" s="121">
        <v>0</v>
      </c>
      <c r="BU224" s="121">
        <v>0</v>
      </c>
      <c r="BV224" s="121">
        <v>0</v>
      </c>
      <c r="BW224" s="121">
        <v>0</v>
      </c>
      <c r="BX224" s="121">
        <v>0</v>
      </c>
      <c r="BY224" s="121">
        <v>0</v>
      </c>
      <c r="BZ224" s="121">
        <v>0</v>
      </c>
      <c r="CA224" s="121">
        <v>0</v>
      </c>
      <c r="CB224" s="121">
        <v>0</v>
      </c>
      <c r="CC224" s="121">
        <v>0</v>
      </c>
      <c r="CD224" s="121">
        <v>0</v>
      </c>
      <c r="CE224" s="121">
        <v>0</v>
      </c>
      <c r="CF224" s="121">
        <v>0</v>
      </c>
      <c r="CG224" s="121">
        <v>0</v>
      </c>
      <c r="CH224" s="121">
        <v>0</v>
      </c>
      <c r="CI224" s="121">
        <v>0</v>
      </c>
      <c r="CJ224" s="121">
        <v>0</v>
      </c>
      <c r="CK224" s="121">
        <v>0</v>
      </c>
      <c r="CL224" s="121"/>
      <c r="CM224" s="121"/>
      <c r="CN224" s="121">
        <v>0</v>
      </c>
      <c r="CO224" s="121">
        <v>0</v>
      </c>
      <c r="CP224" s="121">
        <v>0</v>
      </c>
      <c r="CQ224" s="121">
        <v>0</v>
      </c>
      <c r="CR224" s="118"/>
      <c r="CT224" s="33">
        <v>0</v>
      </c>
      <c r="CW224" s="65">
        <v>0</v>
      </c>
      <c r="CX224" s="33">
        <v>0</v>
      </c>
      <c r="CY224" s="33">
        <v>0</v>
      </c>
      <c r="CZ224" s="66">
        <v>0</v>
      </c>
      <c r="DA224" s="33">
        <v>0</v>
      </c>
      <c r="DB224" s="33">
        <v>1887154.25</v>
      </c>
      <c r="DC224" s="33">
        <v>0</v>
      </c>
      <c r="DF224" s="33">
        <v>0</v>
      </c>
      <c r="DJ224" s="33">
        <v>0</v>
      </c>
      <c r="DQ224" s="115">
        <v>3302018</v>
      </c>
      <c r="DS224" s="33">
        <v>0</v>
      </c>
      <c r="DT224" s="33">
        <v>1887154.25</v>
      </c>
      <c r="DU224" s="33">
        <v>0</v>
      </c>
      <c r="DV224" s="33">
        <v>1887154.25</v>
      </c>
      <c r="DW224" s="33">
        <v>0</v>
      </c>
      <c r="DX224" s="33">
        <v>0</v>
      </c>
      <c r="DY224" s="33">
        <v>0</v>
      </c>
    </row>
    <row r="226" spans="1:92" x14ac:dyDescent="0.35">
      <c r="A226" s="33" t="s">
        <v>563</v>
      </c>
      <c r="C226" s="115"/>
      <c r="D226" s="116"/>
      <c r="E226" s="116"/>
      <c r="F226" s="117"/>
      <c r="G226" s="118"/>
      <c r="H226" s="115"/>
      <c r="I226" s="115"/>
      <c r="J226" s="115"/>
      <c r="K226" s="115"/>
      <c r="L226" s="115"/>
      <c r="M226" s="115"/>
      <c r="N226" s="115"/>
      <c r="O226" s="115"/>
      <c r="P226" s="115"/>
      <c r="Q226" s="115"/>
      <c r="R226" s="115"/>
      <c r="S226" s="119"/>
      <c r="T226" s="119"/>
      <c r="U226" s="119"/>
      <c r="V226" s="119"/>
      <c r="W226" s="119"/>
      <c r="X226" s="119"/>
      <c r="Y226" s="120">
        <f>SUM(Y9:Y102)</f>
        <v>32020640.380000003</v>
      </c>
      <c r="Z226" s="120">
        <f>SUM(Z9:Z102)</f>
        <v>-1141091.8800000001</v>
      </c>
      <c r="AA226" s="120">
        <f>SUM(AA9:AA102)</f>
        <v>2206794.6999999997</v>
      </c>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c r="BW226" s="121"/>
      <c r="BX226" s="121"/>
      <c r="BY226" s="121"/>
      <c r="BZ226" s="121"/>
      <c r="CA226" s="121"/>
      <c r="CB226" s="121"/>
      <c r="CC226" s="121"/>
      <c r="CD226" s="121"/>
      <c r="CE226" s="121"/>
      <c r="CF226" s="121"/>
      <c r="CG226" s="121"/>
      <c r="CH226" s="121"/>
      <c r="CI226" s="121"/>
      <c r="CJ226" s="121"/>
      <c r="CK226" s="121"/>
      <c r="CL226" s="64">
        <f>SUM(CL9:CL102)</f>
        <v>36568591.050000012</v>
      </c>
      <c r="CN226" s="64">
        <f>SUM(CN9:CN102)</f>
        <v>2573275.6500000008</v>
      </c>
    </row>
    <row r="227" spans="1:92" x14ac:dyDescent="0.35">
      <c r="A227" s="33" t="s">
        <v>564</v>
      </c>
      <c r="C227" s="115"/>
      <c r="D227" s="116"/>
      <c r="E227" s="116"/>
      <c r="F227" s="117"/>
      <c r="G227" s="118"/>
      <c r="H227" s="115"/>
      <c r="I227" s="115"/>
      <c r="J227" s="115"/>
      <c r="K227" s="115"/>
      <c r="L227" s="115"/>
      <c r="M227" s="115"/>
      <c r="N227" s="115"/>
      <c r="O227" s="115"/>
      <c r="P227" s="115"/>
      <c r="Q227" s="115"/>
      <c r="R227" s="115"/>
      <c r="S227" s="119"/>
      <c r="T227" s="119"/>
      <c r="U227" s="119"/>
      <c r="V227" s="119"/>
      <c r="W227" s="119"/>
      <c r="X227" s="119"/>
      <c r="Y227" s="120">
        <f>SUM(Y104:Y224)</f>
        <v>42238861.340000018</v>
      </c>
      <c r="Z227" s="120">
        <f>SUM(Z104:Z224)</f>
        <v>-4142544.87</v>
      </c>
      <c r="AA227" s="120">
        <f>SUM(AA104:AA224)</f>
        <v>-605429.54</v>
      </c>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21"/>
      <c r="CA227" s="121"/>
      <c r="CB227" s="121"/>
      <c r="CC227" s="121"/>
      <c r="CD227" s="121"/>
      <c r="CE227" s="121"/>
      <c r="CF227" s="121"/>
      <c r="CG227" s="121"/>
      <c r="CH227" s="121"/>
      <c r="CI227" s="121"/>
      <c r="CJ227" s="121"/>
      <c r="CK227" s="121"/>
      <c r="CL227" s="121">
        <f>SUM(CL104:CL224)</f>
        <v>33051305.469999995</v>
      </c>
      <c r="CM227" s="121"/>
      <c r="CN227" s="121">
        <f>SUM(CN104:CN224)</f>
        <v>1476635.7300000002</v>
      </c>
    </row>
    <row r="228" spans="1:92" x14ac:dyDescent="0.35">
      <c r="C228" s="115"/>
      <c r="D228" s="116"/>
      <c r="E228" s="116"/>
      <c r="F228" s="117"/>
      <c r="G228" s="118"/>
      <c r="H228" s="115"/>
      <c r="I228" s="115"/>
      <c r="J228" s="115"/>
      <c r="K228" s="115"/>
      <c r="L228" s="115"/>
      <c r="M228" s="115"/>
      <c r="N228" s="115"/>
      <c r="O228" s="115"/>
      <c r="P228" s="115"/>
      <c r="Q228" s="115"/>
      <c r="R228" s="115"/>
      <c r="S228" s="119"/>
      <c r="T228" s="119"/>
      <c r="U228" s="119"/>
      <c r="V228" s="119"/>
      <c r="W228" s="119"/>
      <c r="X228" s="119"/>
      <c r="Y228" s="120">
        <f>Y226+Y227</f>
        <v>74259501.720000029</v>
      </c>
      <c r="Z228" s="120">
        <f>Z226+Z227</f>
        <v>-5283636.75</v>
      </c>
      <c r="AA228" s="120">
        <f>AA226+AA227</f>
        <v>1601365.1599999997</v>
      </c>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c r="BQ228" s="121"/>
      <c r="BR228" s="121"/>
      <c r="BS228" s="121"/>
      <c r="BT228" s="121"/>
      <c r="BU228" s="121"/>
      <c r="BV228" s="121"/>
      <c r="BW228" s="121"/>
      <c r="BX228" s="121"/>
      <c r="BY228" s="121"/>
      <c r="BZ228" s="121"/>
      <c r="CA228" s="121"/>
      <c r="CB228" s="121"/>
      <c r="CC228" s="121"/>
      <c r="CD228" s="121"/>
      <c r="CE228" s="121"/>
      <c r="CF228" s="121"/>
      <c r="CG228" s="121"/>
      <c r="CH228" s="121"/>
      <c r="CI228" s="121"/>
      <c r="CJ228" s="121"/>
      <c r="CK228" s="121"/>
      <c r="CL228" s="121">
        <f>CL226+CL227</f>
        <v>69619896.520000011</v>
      </c>
      <c r="CM228" s="121"/>
      <c r="CN228" s="121">
        <f>CN226+CN227</f>
        <v>4049911.3800000008</v>
      </c>
    </row>
    <row r="229" spans="1:92" x14ac:dyDescent="0.35">
      <c r="C229" s="115"/>
      <c r="D229" s="116"/>
      <c r="E229" s="116"/>
      <c r="F229" s="117"/>
      <c r="G229" s="118"/>
      <c r="H229" s="115"/>
      <c r="I229" s="115"/>
      <c r="J229" s="115"/>
      <c r="K229" s="115"/>
      <c r="L229" s="115"/>
      <c r="M229" s="115"/>
      <c r="N229" s="115"/>
      <c r="O229" s="115"/>
      <c r="P229" s="115"/>
      <c r="Q229" s="115"/>
      <c r="R229" s="115"/>
      <c r="S229" s="119"/>
      <c r="T229" s="119"/>
      <c r="U229" s="119"/>
      <c r="V229" s="119"/>
      <c r="W229" s="119"/>
      <c r="X229" s="119"/>
      <c r="Y229" s="120"/>
      <c r="Z229" s="120"/>
      <c r="AA229" s="120"/>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121"/>
      <c r="BW229" s="121"/>
      <c r="BX229" s="121"/>
      <c r="BY229" s="121"/>
      <c r="BZ229" s="121"/>
      <c r="CA229" s="121"/>
      <c r="CB229" s="121"/>
      <c r="CC229" s="121"/>
      <c r="CD229" s="121"/>
      <c r="CE229" s="121"/>
      <c r="CF229" s="121"/>
      <c r="CG229" s="121"/>
      <c r="CH229" s="121"/>
      <c r="CI229" s="121"/>
      <c r="CJ229" s="121"/>
      <c r="CK229" s="121"/>
      <c r="CL229" s="121"/>
      <c r="CM229" s="121"/>
      <c r="CN229" s="121"/>
    </row>
    <row r="230" spans="1:92" x14ac:dyDescent="0.35">
      <c r="C230" s="115"/>
      <c r="D230" s="116"/>
      <c r="E230" s="116"/>
      <c r="F230" s="117"/>
      <c r="G230" s="118"/>
      <c r="H230" s="115"/>
      <c r="I230" s="115"/>
      <c r="J230" s="115"/>
      <c r="K230" s="115"/>
      <c r="L230" s="115"/>
      <c r="M230" s="115"/>
      <c r="N230" s="115"/>
      <c r="O230" s="115"/>
      <c r="P230" s="115"/>
      <c r="Q230" s="115"/>
      <c r="R230" s="115"/>
      <c r="S230" s="119"/>
      <c r="T230" s="119"/>
      <c r="U230" s="119"/>
      <c r="V230" s="119"/>
      <c r="W230" s="119"/>
      <c r="X230" s="119"/>
      <c r="Y230" s="120"/>
      <c r="Z230" s="120"/>
      <c r="AA230" s="120"/>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121"/>
      <c r="BW230" s="121"/>
      <c r="BX230" s="121"/>
      <c r="BY230" s="121"/>
      <c r="BZ230" s="121"/>
      <c r="CA230" s="121"/>
      <c r="CB230" s="121"/>
      <c r="CC230" s="121"/>
      <c r="CD230" s="121"/>
      <c r="CE230" s="121"/>
      <c r="CF230" s="121"/>
      <c r="CG230" s="121"/>
      <c r="CH230" s="121"/>
      <c r="CI230" s="121"/>
      <c r="CJ230" s="121"/>
      <c r="CK230" s="121"/>
      <c r="CL230" s="121">
        <v>68218795.930000022</v>
      </c>
      <c r="CM230" s="121"/>
      <c r="CN230" s="121"/>
    </row>
    <row r="231" spans="1:92" x14ac:dyDescent="0.35">
      <c r="C231" s="115"/>
      <c r="D231" s="116"/>
      <c r="E231" s="116"/>
      <c r="F231" s="117"/>
      <c r="G231" s="118"/>
      <c r="H231" s="115"/>
      <c r="I231" s="115"/>
      <c r="J231" s="115"/>
      <c r="K231" s="115"/>
      <c r="L231" s="115"/>
      <c r="M231" s="115"/>
      <c r="N231" s="115"/>
      <c r="O231" s="115"/>
      <c r="P231" s="115"/>
      <c r="Q231" s="115"/>
      <c r="R231" s="115"/>
      <c r="S231" s="119"/>
      <c r="T231" s="119"/>
      <c r="U231" s="119"/>
      <c r="V231" s="119"/>
      <c r="W231" s="119"/>
      <c r="X231" s="119"/>
      <c r="Y231" s="120"/>
      <c r="Z231" s="120"/>
      <c r="AA231" s="120"/>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c r="BS231" s="121"/>
      <c r="BT231" s="121"/>
      <c r="BU231" s="121"/>
      <c r="BV231" s="121"/>
      <c r="BW231" s="121"/>
      <c r="BX231" s="121"/>
      <c r="BY231" s="121"/>
      <c r="BZ231" s="121"/>
      <c r="CA231" s="121"/>
      <c r="CB231" s="121"/>
      <c r="CC231" s="121"/>
      <c r="CD231" s="121"/>
      <c r="CE231" s="121"/>
      <c r="CF231" s="121"/>
      <c r="CG231" s="121"/>
      <c r="CH231" s="121"/>
      <c r="CI231" s="121"/>
      <c r="CJ231" s="121"/>
      <c r="CK231" s="121"/>
      <c r="CL231" s="121"/>
      <c r="CM231" s="121"/>
      <c r="CN231" s="121"/>
    </row>
    <row r="232" spans="1:92" x14ac:dyDescent="0.35">
      <c r="C232" s="115"/>
      <c r="D232" s="116"/>
      <c r="E232" s="116"/>
      <c r="F232" s="117"/>
      <c r="G232" s="118"/>
      <c r="H232" s="115"/>
      <c r="I232" s="115"/>
      <c r="J232" s="115"/>
      <c r="K232" s="115"/>
      <c r="L232" s="115"/>
      <c r="M232" s="115"/>
      <c r="N232" s="115"/>
      <c r="O232" s="115"/>
      <c r="P232" s="115"/>
      <c r="Q232" s="115"/>
      <c r="R232" s="115"/>
      <c r="S232" s="119"/>
      <c r="T232" s="119"/>
      <c r="U232" s="119"/>
      <c r="V232" s="119"/>
      <c r="W232" s="119"/>
      <c r="X232" s="119"/>
      <c r="Y232" s="120"/>
      <c r="Z232" s="120"/>
      <c r="AA232" s="120"/>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c r="CA232" s="121"/>
      <c r="CB232" s="121"/>
      <c r="CC232" s="121"/>
      <c r="CD232" s="121"/>
      <c r="CE232" s="121"/>
      <c r="CF232" s="121"/>
      <c r="CG232" s="121"/>
      <c r="CH232" s="121"/>
      <c r="CI232" s="121"/>
      <c r="CJ232" s="121"/>
      <c r="CK232" s="121"/>
      <c r="CL232" s="121">
        <f>CL230-CL228</f>
        <v>-1401100.5899999887</v>
      </c>
      <c r="CM232" s="121"/>
      <c r="CN232" s="121"/>
    </row>
  </sheetData>
  <autoFilter ref="A8:EL224" xr:uid="{72FEF908-9A20-4675-A4BC-ADD6EB5A81C5}"/>
  <mergeCells count="13">
    <mergeCell ref="CU6:CV6"/>
    <mergeCell ref="DI6:DJ6"/>
    <mergeCell ref="DK6:DL6"/>
    <mergeCell ref="CS5:CX5"/>
    <mergeCell ref="C6:X6"/>
    <mergeCell ref="Y6:AA6"/>
    <mergeCell ref="AB6:AV6"/>
    <mergeCell ref="AW6:CC6"/>
    <mergeCell ref="CD6:CF6"/>
    <mergeCell ref="CG6:CK6"/>
    <mergeCell ref="CL6:CQ6"/>
    <mergeCell ref="CR6:CR7"/>
    <mergeCell ref="CS6:CT6"/>
  </mergeCells>
  <pageMargins left="0.7" right="0.7" top="0.75" bottom="0.75" header="0.3" footer="0.3"/>
  <headerFoot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1013E-2034-4FC1-96C6-209056B0DDF7}">
  <sheetPr codeName="Sheet2"/>
  <dimension ref="A2:J211"/>
  <sheetViews>
    <sheetView workbookViewId="0">
      <selection activeCell="J9" sqref="J9"/>
    </sheetView>
  </sheetViews>
  <sheetFormatPr defaultColWidth="9.1796875" defaultRowHeight="14.5" x14ac:dyDescent="0.35"/>
  <cols>
    <col min="1" max="1" width="67" style="33" bestFit="1" customWidth="1"/>
    <col min="2" max="2" width="17.81640625" style="122" bestFit="1" customWidth="1"/>
    <col min="3" max="4" width="9.1796875" style="33"/>
    <col min="5" max="5" width="10.7265625" style="33" bestFit="1" customWidth="1"/>
    <col min="6" max="6" width="24.453125" style="33" bestFit="1" customWidth="1"/>
    <col min="7" max="11" width="9.1796875" style="33"/>
    <col min="12" max="12" width="11.453125" style="33" customWidth="1"/>
    <col min="13" max="13" width="48" style="33" customWidth="1"/>
    <col min="14" max="14" width="9.1796875" style="33"/>
    <col min="15" max="15" width="41.1796875" style="33" bestFit="1" customWidth="1"/>
    <col min="16" max="16" width="9.1796875" style="33"/>
    <col min="17" max="17" width="14.54296875" style="33" customWidth="1"/>
    <col min="18" max="16384" width="9.1796875" style="33"/>
  </cols>
  <sheetData>
    <row r="2" spans="1:10" x14ac:dyDescent="0.35">
      <c r="A2" s="34" t="s">
        <v>565</v>
      </c>
      <c r="B2" s="123" t="s">
        <v>566</v>
      </c>
      <c r="C2" s="35" t="s">
        <v>567</v>
      </c>
      <c r="D2" s="36" t="s">
        <v>566</v>
      </c>
      <c r="E2" s="36" t="s">
        <v>568</v>
      </c>
      <c r="F2" s="35" t="s">
        <v>569</v>
      </c>
      <c r="H2" s="347" t="s">
        <v>570</v>
      </c>
      <c r="J2" s="347" t="s">
        <v>570</v>
      </c>
    </row>
    <row r="3" spans="1:10" x14ac:dyDescent="0.35">
      <c r="A3" s="37" t="s">
        <v>354</v>
      </c>
      <c r="B3" s="124">
        <v>1027</v>
      </c>
      <c r="C3" s="37" t="s">
        <v>571</v>
      </c>
      <c r="D3" s="37" t="s">
        <v>572</v>
      </c>
      <c r="E3" s="37">
        <v>103140</v>
      </c>
      <c r="F3" s="37" t="s">
        <v>573</v>
      </c>
      <c r="H3" s="53" t="s">
        <v>574</v>
      </c>
      <c r="J3" s="344" t="s">
        <v>575</v>
      </c>
    </row>
    <row r="4" spans="1:10" x14ac:dyDescent="0.35">
      <c r="A4" s="37" t="s">
        <v>157</v>
      </c>
      <c r="B4" s="125">
        <v>2010</v>
      </c>
      <c r="C4" s="39" t="s">
        <v>576</v>
      </c>
      <c r="D4" s="37" t="s">
        <v>577</v>
      </c>
      <c r="E4" s="40">
        <v>103159</v>
      </c>
      <c r="F4" s="39" t="s">
        <v>578</v>
      </c>
      <c r="H4" s="54" t="s">
        <v>579</v>
      </c>
      <c r="J4" s="345" t="s">
        <v>580</v>
      </c>
    </row>
    <row r="5" spans="1:10" x14ac:dyDescent="0.35">
      <c r="A5" s="37" t="s">
        <v>530</v>
      </c>
      <c r="B5" s="124">
        <v>5949</v>
      </c>
      <c r="C5" s="37" t="s">
        <v>581</v>
      </c>
      <c r="D5" s="37" t="s">
        <v>582</v>
      </c>
      <c r="E5" s="37">
        <v>131465</v>
      </c>
      <c r="F5" s="37" t="s">
        <v>573</v>
      </c>
      <c r="H5" s="55" t="s">
        <v>583</v>
      </c>
      <c r="J5" s="346" t="s">
        <v>584</v>
      </c>
    </row>
    <row r="6" spans="1:10" x14ac:dyDescent="0.35">
      <c r="A6" s="37" t="s">
        <v>342</v>
      </c>
      <c r="B6" s="124">
        <v>1017</v>
      </c>
      <c r="C6" s="37" t="s">
        <v>585</v>
      </c>
      <c r="D6" s="37" t="s">
        <v>586</v>
      </c>
      <c r="E6" s="40">
        <v>103130</v>
      </c>
      <c r="F6" s="37" t="s">
        <v>578</v>
      </c>
      <c r="H6" s="52"/>
    </row>
    <row r="7" spans="1:10" x14ac:dyDescent="0.35">
      <c r="A7" s="37" t="s">
        <v>185</v>
      </c>
      <c r="B7" s="124">
        <v>2153</v>
      </c>
      <c r="C7" s="37" t="s">
        <v>587</v>
      </c>
      <c r="D7" s="37" t="s">
        <v>588</v>
      </c>
      <c r="E7" s="37">
        <v>103243</v>
      </c>
      <c r="F7" s="37" t="s">
        <v>589</v>
      </c>
    </row>
    <row r="8" spans="1:10" x14ac:dyDescent="0.35">
      <c r="A8" s="37" t="s">
        <v>165</v>
      </c>
      <c r="B8" s="124">
        <v>2062</v>
      </c>
      <c r="C8" s="37" t="s">
        <v>590</v>
      </c>
      <c r="D8" s="37" t="s">
        <v>591</v>
      </c>
      <c r="E8" s="37">
        <v>103192</v>
      </c>
      <c r="F8" s="37" t="s">
        <v>573</v>
      </c>
    </row>
    <row r="9" spans="1:10" x14ac:dyDescent="0.35">
      <c r="A9" s="37" t="s">
        <v>448</v>
      </c>
      <c r="B9" s="124">
        <v>2479</v>
      </c>
      <c r="C9" s="37" t="s">
        <v>592</v>
      </c>
      <c r="D9" s="37" t="s">
        <v>593</v>
      </c>
      <c r="E9" s="37">
        <v>132074</v>
      </c>
      <c r="F9" s="37" t="s">
        <v>589</v>
      </c>
      <c r="H9" s="347" t="s">
        <v>570</v>
      </c>
    </row>
    <row r="10" spans="1:10" x14ac:dyDescent="0.35">
      <c r="A10" s="37" t="s">
        <v>225</v>
      </c>
      <c r="B10" s="124">
        <v>2300</v>
      </c>
      <c r="C10" s="37" t="s">
        <v>594</v>
      </c>
      <c r="D10" s="37" t="s">
        <v>595</v>
      </c>
      <c r="E10" s="37">
        <v>103324</v>
      </c>
      <c r="F10" s="37" t="s">
        <v>578</v>
      </c>
      <c r="H10" s="347" t="s">
        <v>596</v>
      </c>
    </row>
    <row r="11" spans="1:10" x14ac:dyDescent="0.35">
      <c r="A11" s="37" t="s">
        <v>368</v>
      </c>
      <c r="B11" s="124">
        <v>2014</v>
      </c>
      <c r="C11" s="37" t="s">
        <v>597</v>
      </c>
      <c r="D11" s="37" t="s">
        <v>598</v>
      </c>
      <c r="E11" s="37">
        <v>103162</v>
      </c>
      <c r="F11" s="37" t="s">
        <v>573</v>
      </c>
      <c r="H11" s="347" t="s">
        <v>599</v>
      </c>
    </row>
    <row r="12" spans="1:10" x14ac:dyDescent="0.35">
      <c r="A12" s="37" t="s">
        <v>536</v>
      </c>
      <c r="B12" s="124">
        <v>7016</v>
      </c>
      <c r="C12" s="37" t="s">
        <v>600</v>
      </c>
      <c r="D12" s="37" t="s">
        <v>601</v>
      </c>
      <c r="E12" s="37">
        <v>103606</v>
      </c>
      <c r="F12" s="37" t="s">
        <v>578</v>
      </c>
    </row>
    <row r="13" spans="1:10" x14ac:dyDescent="0.35">
      <c r="A13" s="37" t="s">
        <v>550</v>
      </c>
      <c r="B13" s="124">
        <v>7052</v>
      </c>
      <c r="C13" s="37" t="s">
        <v>602</v>
      </c>
      <c r="D13" s="37" t="s">
        <v>603</v>
      </c>
      <c r="E13" s="37">
        <v>103627</v>
      </c>
      <c r="F13" s="37" t="s">
        <v>573</v>
      </c>
    </row>
    <row r="14" spans="1:10" x14ac:dyDescent="0.35">
      <c r="A14" s="37" t="s">
        <v>159</v>
      </c>
      <c r="B14" s="124">
        <v>2017</v>
      </c>
      <c r="C14" s="37" t="s">
        <v>604</v>
      </c>
      <c r="D14" s="37" t="s">
        <v>605</v>
      </c>
      <c r="E14" s="37">
        <v>103164</v>
      </c>
      <c r="F14" s="37" t="s">
        <v>573</v>
      </c>
    </row>
    <row r="15" spans="1:10" x14ac:dyDescent="0.35">
      <c r="A15" s="37" t="s">
        <v>372</v>
      </c>
      <c r="B15" s="124">
        <v>2016</v>
      </c>
      <c r="C15" s="37" t="s">
        <v>606</v>
      </c>
      <c r="D15" s="37" t="s">
        <v>607</v>
      </c>
      <c r="E15" s="37">
        <v>103163</v>
      </c>
      <c r="F15" s="37" t="s">
        <v>573</v>
      </c>
    </row>
    <row r="16" spans="1:10" x14ac:dyDescent="0.35">
      <c r="A16" s="37" t="s">
        <v>207</v>
      </c>
      <c r="B16" s="124">
        <v>2239</v>
      </c>
      <c r="C16" s="37" t="s">
        <v>608</v>
      </c>
      <c r="D16" s="37" t="s">
        <v>609</v>
      </c>
      <c r="E16" s="37">
        <v>103289</v>
      </c>
      <c r="F16" s="37" t="s">
        <v>589</v>
      </c>
    </row>
    <row r="17" spans="1:6" x14ac:dyDescent="0.35">
      <c r="A17" s="37" t="s">
        <v>209</v>
      </c>
      <c r="B17" s="124">
        <v>2241</v>
      </c>
      <c r="C17" s="37" t="s">
        <v>610</v>
      </c>
      <c r="D17" s="37" t="s">
        <v>611</v>
      </c>
      <c r="E17" s="37">
        <v>103291</v>
      </c>
      <c r="F17" s="37" t="s">
        <v>573</v>
      </c>
    </row>
    <row r="18" spans="1:6" x14ac:dyDescent="0.35">
      <c r="A18" s="37" t="s">
        <v>249</v>
      </c>
      <c r="B18" s="124">
        <v>2456</v>
      </c>
      <c r="C18" s="37" t="s">
        <v>612</v>
      </c>
      <c r="D18" s="37" t="s">
        <v>613</v>
      </c>
      <c r="E18" s="37">
        <v>103383</v>
      </c>
      <c r="F18" s="37" t="s">
        <v>573</v>
      </c>
    </row>
    <row r="19" spans="1:6" x14ac:dyDescent="0.35">
      <c r="A19" s="37" t="s">
        <v>436</v>
      </c>
      <c r="B19" s="124">
        <v>2435</v>
      </c>
      <c r="C19" s="37" t="s">
        <v>614</v>
      </c>
      <c r="D19" s="37" t="s">
        <v>615</v>
      </c>
      <c r="E19" s="37">
        <v>103362</v>
      </c>
      <c r="F19" s="37" t="s">
        <v>589</v>
      </c>
    </row>
    <row r="20" spans="1:6" x14ac:dyDescent="0.35">
      <c r="A20" s="37" t="s">
        <v>309</v>
      </c>
      <c r="B20" s="124">
        <v>5413</v>
      </c>
      <c r="C20" s="37" t="s">
        <v>616</v>
      </c>
      <c r="D20" s="37" t="s">
        <v>617</v>
      </c>
      <c r="E20" s="37">
        <v>103560</v>
      </c>
      <c r="F20" s="37" t="s">
        <v>578</v>
      </c>
    </row>
    <row r="21" spans="1:6" x14ac:dyDescent="0.35">
      <c r="A21" s="37" t="s">
        <v>217</v>
      </c>
      <c r="B21" s="124">
        <v>2254</v>
      </c>
      <c r="C21" s="37" t="s">
        <v>618</v>
      </c>
      <c r="D21" s="37" t="s">
        <v>619</v>
      </c>
      <c r="E21" s="37">
        <v>103300</v>
      </c>
      <c r="F21" s="37" t="s">
        <v>573</v>
      </c>
    </row>
    <row r="22" spans="1:6" x14ac:dyDescent="0.35">
      <c r="A22" s="37" t="s">
        <v>352</v>
      </c>
      <c r="B22" s="124">
        <v>1025</v>
      </c>
      <c r="C22" s="37" t="s">
        <v>620</v>
      </c>
      <c r="D22" s="37" t="s">
        <v>621</v>
      </c>
      <c r="E22" s="37">
        <v>103138</v>
      </c>
      <c r="F22" s="37" t="s">
        <v>573</v>
      </c>
    </row>
    <row r="23" spans="1:6" x14ac:dyDescent="0.35">
      <c r="A23" s="37" t="s">
        <v>239</v>
      </c>
      <c r="B23" s="124">
        <v>2402</v>
      </c>
      <c r="C23" s="37" t="s">
        <v>622</v>
      </c>
      <c r="D23" s="37" t="s">
        <v>623</v>
      </c>
      <c r="E23" s="37">
        <v>103342</v>
      </c>
      <c r="F23" s="37" t="s">
        <v>578</v>
      </c>
    </row>
    <row r="24" spans="1:6" x14ac:dyDescent="0.35">
      <c r="A24" s="37" t="s">
        <v>237</v>
      </c>
      <c r="B24" s="124">
        <v>2401</v>
      </c>
      <c r="C24" s="37" t="s">
        <v>624</v>
      </c>
      <c r="D24" s="37" t="s">
        <v>625</v>
      </c>
      <c r="E24" s="37">
        <v>103341</v>
      </c>
      <c r="F24" s="37" t="s">
        <v>578</v>
      </c>
    </row>
    <row r="25" spans="1:6" x14ac:dyDescent="0.35">
      <c r="A25" s="37" t="s">
        <v>135</v>
      </c>
      <c r="B25" s="124">
        <v>1001</v>
      </c>
      <c r="C25" s="37" t="s">
        <v>626</v>
      </c>
      <c r="D25" s="37" t="s">
        <v>627</v>
      </c>
      <c r="E25" s="37">
        <v>103120</v>
      </c>
      <c r="F25" s="37" t="s">
        <v>589</v>
      </c>
    </row>
    <row r="26" spans="1:6" x14ac:dyDescent="0.35">
      <c r="A26" s="37" t="s">
        <v>295</v>
      </c>
      <c r="B26" s="124">
        <v>4115</v>
      </c>
      <c r="C26" s="37" t="s">
        <v>628</v>
      </c>
      <c r="D26" s="37" t="s">
        <v>629</v>
      </c>
      <c r="E26" s="40">
        <v>103493</v>
      </c>
      <c r="F26" s="37" t="s">
        <v>578</v>
      </c>
    </row>
    <row r="27" spans="1:6" x14ac:dyDescent="0.35">
      <c r="A27" s="37" t="s">
        <v>374</v>
      </c>
      <c r="B27" s="124">
        <v>2030</v>
      </c>
      <c r="C27" s="37" t="s">
        <v>630</v>
      </c>
      <c r="D27" s="37" t="s">
        <v>631</v>
      </c>
      <c r="E27" s="37">
        <v>103172</v>
      </c>
      <c r="F27" s="37" t="s">
        <v>578</v>
      </c>
    </row>
    <row r="28" spans="1:6" x14ac:dyDescent="0.35">
      <c r="A28" s="37" t="s">
        <v>486</v>
      </c>
      <c r="B28" s="124">
        <v>3353</v>
      </c>
      <c r="C28" s="37" t="s">
        <v>632</v>
      </c>
      <c r="D28" s="37" t="s">
        <v>633</v>
      </c>
      <c r="E28" s="37">
        <v>103445</v>
      </c>
      <c r="F28" s="37" t="s">
        <v>573</v>
      </c>
    </row>
    <row r="29" spans="1:6" x14ac:dyDescent="0.35">
      <c r="A29" s="37" t="s">
        <v>538</v>
      </c>
      <c r="B29" s="124">
        <v>7030</v>
      </c>
      <c r="C29" s="37" t="s">
        <v>634</v>
      </c>
      <c r="D29" s="37" t="s">
        <v>635</v>
      </c>
      <c r="E29" s="37">
        <v>103611</v>
      </c>
      <c r="F29" s="37" t="s">
        <v>589</v>
      </c>
    </row>
    <row r="30" spans="1:6" x14ac:dyDescent="0.35">
      <c r="A30" s="37" t="s">
        <v>328</v>
      </c>
      <c r="B30" s="124">
        <v>1002</v>
      </c>
      <c r="C30" s="37" t="s">
        <v>636</v>
      </c>
      <c r="D30" s="37" t="s">
        <v>637</v>
      </c>
      <c r="E30" s="37">
        <v>103121</v>
      </c>
      <c r="F30" s="37" t="s">
        <v>573</v>
      </c>
    </row>
    <row r="31" spans="1:6" x14ac:dyDescent="0.35">
      <c r="A31" s="37" t="s">
        <v>420</v>
      </c>
      <c r="B31" s="126">
        <v>2238</v>
      </c>
      <c r="C31" s="40" t="s">
        <v>638</v>
      </c>
      <c r="D31" s="37" t="s">
        <v>639</v>
      </c>
      <c r="E31" s="37">
        <v>103288</v>
      </c>
      <c r="F31" s="40" t="s">
        <v>578</v>
      </c>
    </row>
    <row r="32" spans="1:6" x14ac:dyDescent="0.35">
      <c r="A32" s="37" t="s">
        <v>418</v>
      </c>
      <c r="B32" s="124">
        <v>2236</v>
      </c>
      <c r="C32" s="37" t="s">
        <v>640</v>
      </c>
      <c r="D32" s="37" t="s">
        <v>641</v>
      </c>
      <c r="E32" s="37">
        <v>103286</v>
      </c>
      <c r="F32" s="37" t="s">
        <v>578</v>
      </c>
    </row>
    <row r="33" spans="1:6" x14ac:dyDescent="0.35">
      <c r="A33" s="37" t="s">
        <v>442</v>
      </c>
      <c r="B33" s="124">
        <v>2465</v>
      </c>
      <c r="C33" s="37" t="s">
        <v>642</v>
      </c>
      <c r="D33" s="37" t="s">
        <v>643</v>
      </c>
      <c r="E33" s="37">
        <v>103391</v>
      </c>
      <c r="F33" s="37" t="s">
        <v>589</v>
      </c>
    </row>
    <row r="34" spans="1:6" x14ac:dyDescent="0.35">
      <c r="A34" s="37" t="s">
        <v>526</v>
      </c>
      <c r="B34" s="124">
        <v>4801</v>
      </c>
      <c r="C34" s="37" t="s">
        <v>644</v>
      </c>
      <c r="D34" s="37" t="s">
        <v>645</v>
      </c>
      <c r="E34" s="37">
        <v>103539</v>
      </c>
      <c r="F34" s="37" t="s">
        <v>578</v>
      </c>
    </row>
    <row r="35" spans="1:6" x14ac:dyDescent="0.35">
      <c r="A35" s="37" t="s">
        <v>149</v>
      </c>
      <c r="B35" s="124">
        <v>1048</v>
      </c>
      <c r="C35" s="37" t="s">
        <v>646</v>
      </c>
      <c r="D35" s="37" t="s">
        <v>647</v>
      </c>
      <c r="E35" s="37">
        <v>103144</v>
      </c>
      <c r="F35" s="37" t="s">
        <v>573</v>
      </c>
    </row>
    <row r="36" spans="1:6" x14ac:dyDescent="0.35">
      <c r="A36" s="37" t="s">
        <v>231</v>
      </c>
      <c r="B36" s="124">
        <v>2312</v>
      </c>
      <c r="C36" s="37" t="s">
        <v>648</v>
      </c>
      <c r="D36" s="37" t="s">
        <v>649</v>
      </c>
      <c r="E36" s="37">
        <v>103332</v>
      </c>
      <c r="F36" s="37" t="s">
        <v>578</v>
      </c>
    </row>
    <row r="37" spans="1:6" x14ac:dyDescent="0.35">
      <c r="A37" s="37" t="s">
        <v>317</v>
      </c>
      <c r="B37" s="124">
        <v>7051</v>
      </c>
      <c r="C37" s="37" t="s">
        <v>650</v>
      </c>
      <c r="D37" s="37" t="s">
        <v>651</v>
      </c>
      <c r="E37" s="37">
        <v>103626</v>
      </c>
      <c r="F37" s="37" t="s">
        <v>578</v>
      </c>
    </row>
    <row r="38" spans="1:6" x14ac:dyDescent="0.35">
      <c r="A38" s="37" t="s">
        <v>376</v>
      </c>
      <c r="B38" s="124">
        <v>2040</v>
      </c>
      <c r="C38" s="37" t="s">
        <v>652</v>
      </c>
      <c r="D38" s="37" t="s">
        <v>653</v>
      </c>
      <c r="E38" s="37">
        <v>103178</v>
      </c>
      <c r="F38" s="37" t="s">
        <v>589</v>
      </c>
    </row>
    <row r="39" spans="1:6" x14ac:dyDescent="0.35">
      <c r="A39" s="37" t="s">
        <v>215</v>
      </c>
      <c r="B39" s="124">
        <v>2251</v>
      </c>
      <c r="C39" s="37" t="s">
        <v>654</v>
      </c>
      <c r="D39" s="37" t="s">
        <v>655</v>
      </c>
      <c r="E39" s="37">
        <v>103298</v>
      </c>
      <c r="F39" s="37" t="s">
        <v>578</v>
      </c>
    </row>
    <row r="40" spans="1:6" x14ac:dyDescent="0.35">
      <c r="A40" s="37" t="s">
        <v>452</v>
      </c>
      <c r="B40" s="124">
        <v>3002</v>
      </c>
      <c r="C40" s="37" t="s">
        <v>656</v>
      </c>
      <c r="D40" s="37" t="s">
        <v>657</v>
      </c>
      <c r="E40" s="40">
        <v>103397</v>
      </c>
      <c r="F40" s="37" t="s">
        <v>578</v>
      </c>
    </row>
    <row r="41" spans="1:6" x14ac:dyDescent="0.35">
      <c r="A41" s="37" t="s">
        <v>466</v>
      </c>
      <c r="B41" s="124">
        <v>3319</v>
      </c>
      <c r="C41" s="37" t="s">
        <v>658</v>
      </c>
      <c r="D41" s="37" t="s">
        <v>659</v>
      </c>
      <c r="E41" s="40">
        <v>103423</v>
      </c>
      <c r="F41" s="37" t="s">
        <v>578</v>
      </c>
    </row>
    <row r="42" spans="1:6" x14ac:dyDescent="0.35">
      <c r="A42" s="37" t="s">
        <v>153</v>
      </c>
      <c r="B42" s="124">
        <v>1100</v>
      </c>
      <c r="C42" s="37" t="s">
        <v>660</v>
      </c>
      <c r="D42" s="37" t="s">
        <v>661</v>
      </c>
      <c r="E42" s="37">
        <v>103146</v>
      </c>
      <c r="F42" s="37" t="s">
        <v>589</v>
      </c>
    </row>
    <row r="43" spans="1:6" x14ac:dyDescent="0.35">
      <c r="A43" s="37" t="s">
        <v>287</v>
      </c>
      <c r="B43" s="124">
        <v>3432</v>
      </c>
      <c r="C43" s="37" t="s">
        <v>662</v>
      </c>
      <c r="D43" s="37" t="s">
        <v>663</v>
      </c>
      <c r="E43" s="37">
        <v>134840</v>
      </c>
      <c r="F43" s="37" t="s">
        <v>589</v>
      </c>
    </row>
    <row r="44" spans="1:6" x14ac:dyDescent="0.35">
      <c r="A44" s="37" t="s">
        <v>219</v>
      </c>
      <c r="B44" s="124">
        <v>2289</v>
      </c>
      <c r="C44" s="37" t="s">
        <v>664</v>
      </c>
      <c r="D44" s="37" t="s">
        <v>665</v>
      </c>
      <c r="E44" s="37">
        <v>103315</v>
      </c>
      <c r="F44" s="37" t="s">
        <v>573</v>
      </c>
    </row>
    <row r="45" spans="1:6" x14ac:dyDescent="0.35">
      <c r="A45" s="37" t="s">
        <v>412</v>
      </c>
      <c r="B45" s="124">
        <v>2185</v>
      </c>
      <c r="C45" s="37" t="s">
        <v>666</v>
      </c>
      <c r="D45" s="37" t="s">
        <v>667</v>
      </c>
      <c r="E45" s="37">
        <v>103263</v>
      </c>
      <c r="F45" s="37" t="s">
        <v>589</v>
      </c>
    </row>
    <row r="46" spans="1:6" x14ac:dyDescent="0.35">
      <c r="A46" s="37" t="s">
        <v>528</v>
      </c>
      <c r="B46" s="124">
        <v>5416</v>
      </c>
      <c r="C46" s="37" t="s">
        <v>668</v>
      </c>
      <c r="D46" s="37" t="s">
        <v>669</v>
      </c>
      <c r="E46" s="37">
        <v>103563</v>
      </c>
      <c r="F46" s="37" t="s">
        <v>578</v>
      </c>
    </row>
    <row r="47" spans="1:6" x14ac:dyDescent="0.35">
      <c r="A47" s="37" t="s">
        <v>380</v>
      </c>
      <c r="B47" s="124">
        <v>2054</v>
      </c>
      <c r="C47" s="37" t="s">
        <v>670</v>
      </c>
      <c r="D47" s="37" t="s">
        <v>671</v>
      </c>
      <c r="E47" s="37">
        <v>103189</v>
      </c>
      <c r="F47" s="37" t="s">
        <v>578</v>
      </c>
    </row>
    <row r="48" spans="1:6" x14ac:dyDescent="0.35">
      <c r="A48" s="37" t="s">
        <v>378</v>
      </c>
      <c r="B48" s="124">
        <v>2053</v>
      </c>
      <c r="C48" s="37" t="s">
        <v>672</v>
      </c>
      <c r="D48" s="37" t="s">
        <v>673</v>
      </c>
      <c r="E48" s="37">
        <v>103188</v>
      </c>
      <c r="F48" s="37" t="s">
        <v>578</v>
      </c>
    </row>
    <row r="49" spans="1:6" x14ac:dyDescent="0.35">
      <c r="A49" s="37" t="s">
        <v>440</v>
      </c>
      <c r="B49" s="124">
        <v>2464</v>
      </c>
      <c r="C49" s="37" t="s">
        <v>674</v>
      </c>
      <c r="D49" s="37" t="s">
        <v>675</v>
      </c>
      <c r="E49" s="37">
        <v>103390</v>
      </c>
      <c r="F49" s="37" t="s">
        <v>589</v>
      </c>
    </row>
    <row r="50" spans="1:6" x14ac:dyDescent="0.35">
      <c r="A50" s="37" t="s">
        <v>265</v>
      </c>
      <c r="B50" s="124">
        <v>3320</v>
      </c>
      <c r="C50" s="37" t="s">
        <v>676</v>
      </c>
      <c r="D50" s="37" t="s">
        <v>677</v>
      </c>
      <c r="E50" s="37">
        <v>103424</v>
      </c>
      <c r="F50" s="37" t="s">
        <v>573</v>
      </c>
    </row>
    <row r="51" spans="1:6" x14ac:dyDescent="0.35">
      <c r="A51" s="37" t="s">
        <v>163</v>
      </c>
      <c r="B51" s="124">
        <v>2055</v>
      </c>
      <c r="C51" s="37" t="s">
        <v>678</v>
      </c>
      <c r="D51" s="37" t="s">
        <v>679</v>
      </c>
      <c r="E51" s="37">
        <v>103190</v>
      </c>
      <c r="F51" s="37" t="s">
        <v>578</v>
      </c>
    </row>
    <row r="52" spans="1:6" x14ac:dyDescent="0.35">
      <c r="A52" s="37" t="s">
        <v>414</v>
      </c>
      <c r="B52" s="124">
        <v>2191</v>
      </c>
      <c r="C52" s="37" t="s">
        <v>680</v>
      </c>
      <c r="D52" s="37" t="s">
        <v>681</v>
      </c>
      <c r="E52" s="37">
        <v>103267</v>
      </c>
      <c r="F52" s="37" t="s">
        <v>573</v>
      </c>
    </row>
    <row r="53" spans="1:6" x14ac:dyDescent="0.35">
      <c r="A53" s="37" t="s">
        <v>424</v>
      </c>
      <c r="B53" s="124">
        <v>2284</v>
      </c>
      <c r="C53" s="37" t="s">
        <v>682</v>
      </c>
      <c r="D53" s="37" t="s">
        <v>683</v>
      </c>
      <c r="E53" s="37">
        <v>103313</v>
      </c>
      <c r="F53" s="37" t="s">
        <v>573</v>
      </c>
    </row>
    <row r="54" spans="1:6" x14ac:dyDescent="0.35">
      <c r="A54" s="37" t="s">
        <v>360</v>
      </c>
      <c r="B54" s="124">
        <v>1802</v>
      </c>
      <c r="C54" s="37" t="s">
        <v>684</v>
      </c>
      <c r="D54" s="37" t="s">
        <v>685</v>
      </c>
      <c r="E54" s="37">
        <v>103150</v>
      </c>
      <c r="F54" s="37" t="s">
        <v>573</v>
      </c>
    </row>
    <row r="55" spans="1:6" x14ac:dyDescent="0.35">
      <c r="A55" s="37" t="s">
        <v>247</v>
      </c>
      <c r="B55" s="124">
        <v>2454</v>
      </c>
      <c r="C55" s="37" t="s">
        <v>686</v>
      </c>
      <c r="D55" s="37" t="s">
        <v>687</v>
      </c>
      <c r="E55" s="37">
        <v>103381</v>
      </c>
      <c r="F55" s="37" t="s">
        <v>589</v>
      </c>
    </row>
    <row r="56" spans="1:6" x14ac:dyDescent="0.35">
      <c r="A56" s="37" t="s">
        <v>267</v>
      </c>
      <c r="B56" s="124">
        <v>3321</v>
      </c>
      <c r="C56" s="37" t="s">
        <v>688</v>
      </c>
      <c r="D56" s="37" t="s">
        <v>689</v>
      </c>
      <c r="E56" s="37">
        <v>103425</v>
      </c>
      <c r="F56" s="37" t="s">
        <v>589</v>
      </c>
    </row>
    <row r="57" spans="1:6" x14ac:dyDescent="0.35">
      <c r="A57" s="37" t="s">
        <v>147</v>
      </c>
      <c r="B57" s="124">
        <v>1026</v>
      </c>
      <c r="C57" s="37" t="s">
        <v>690</v>
      </c>
      <c r="D57" s="37" t="s">
        <v>691</v>
      </c>
      <c r="E57" s="37">
        <v>103139</v>
      </c>
      <c r="F57" s="37" t="s">
        <v>573</v>
      </c>
    </row>
    <row r="58" spans="1:6" x14ac:dyDescent="0.35">
      <c r="A58" s="37" t="s">
        <v>221</v>
      </c>
      <c r="B58" s="124">
        <v>2294</v>
      </c>
      <c r="C58" s="37" t="s">
        <v>692</v>
      </c>
      <c r="D58" s="37" t="s">
        <v>693</v>
      </c>
      <c r="E58" s="37">
        <v>103318</v>
      </c>
      <c r="F58" s="37" t="s">
        <v>573</v>
      </c>
    </row>
    <row r="59" spans="1:6" x14ac:dyDescent="0.35">
      <c r="A59" s="37" t="s">
        <v>259</v>
      </c>
      <c r="B59" s="124">
        <v>2486</v>
      </c>
      <c r="C59" s="37" t="s">
        <v>694</v>
      </c>
      <c r="D59" s="37" t="s">
        <v>695</v>
      </c>
      <c r="E59" s="37">
        <v>133759</v>
      </c>
      <c r="F59" s="37" t="s">
        <v>578</v>
      </c>
    </row>
    <row r="60" spans="1:6" x14ac:dyDescent="0.35">
      <c r="A60" s="37" t="s">
        <v>289</v>
      </c>
      <c r="B60" s="124">
        <v>3435</v>
      </c>
      <c r="C60" s="37" t="s">
        <v>696</v>
      </c>
      <c r="D60" s="37" t="s">
        <v>697</v>
      </c>
      <c r="E60" s="37">
        <v>131920</v>
      </c>
      <c r="F60" s="37" t="s">
        <v>589</v>
      </c>
    </row>
    <row r="61" spans="1:6" x14ac:dyDescent="0.35">
      <c r="A61" s="37" t="s">
        <v>548</v>
      </c>
      <c r="B61" s="124">
        <v>7050</v>
      </c>
      <c r="C61" s="37" t="s">
        <v>698</v>
      </c>
      <c r="D61" s="37" t="s">
        <v>699</v>
      </c>
      <c r="E61" s="37">
        <v>103625</v>
      </c>
      <c r="F61" s="37" t="s">
        <v>589</v>
      </c>
    </row>
    <row r="62" spans="1:6" x14ac:dyDescent="0.35">
      <c r="A62" s="37" t="s">
        <v>330</v>
      </c>
      <c r="B62" s="124">
        <v>1006</v>
      </c>
      <c r="C62" s="37" t="s">
        <v>700</v>
      </c>
      <c r="D62" s="37" t="s">
        <v>701</v>
      </c>
      <c r="E62" s="37">
        <v>103122</v>
      </c>
      <c r="F62" s="37" t="s">
        <v>573</v>
      </c>
    </row>
    <row r="63" spans="1:6" x14ac:dyDescent="0.35">
      <c r="A63" s="37" t="s">
        <v>384</v>
      </c>
      <c r="B63" s="124">
        <v>2079</v>
      </c>
      <c r="C63" s="37" t="s">
        <v>702</v>
      </c>
      <c r="D63" s="37" t="s">
        <v>703</v>
      </c>
      <c r="E63" s="37">
        <v>103200</v>
      </c>
      <c r="F63" s="37" t="s">
        <v>573</v>
      </c>
    </row>
    <row r="64" spans="1:6" x14ac:dyDescent="0.35">
      <c r="A64" s="37" t="s">
        <v>169</v>
      </c>
      <c r="B64" s="124">
        <v>2081</v>
      </c>
      <c r="C64" s="37" t="s">
        <v>704</v>
      </c>
      <c r="D64" s="37" t="s">
        <v>705</v>
      </c>
      <c r="E64" s="37">
        <v>103201</v>
      </c>
      <c r="F64" s="37" t="s">
        <v>589</v>
      </c>
    </row>
    <row r="65" spans="1:6" x14ac:dyDescent="0.35">
      <c r="A65" s="37" t="s">
        <v>223</v>
      </c>
      <c r="B65" s="124">
        <v>2296</v>
      </c>
      <c r="C65" s="37" t="s">
        <v>706</v>
      </c>
      <c r="D65" s="37" t="s">
        <v>707</v>
      </c>
      <c r="E65" s="37">
        <v>103320</v>
      </c>
      <c r="F65" s="37" t="s">
        <v>708</v>
      </c>
    </row>
    <row r="66" spans="1:6" x14ac:dyDescent="0.35">
      <c r="A66" s="37" t="s">
        <v>338</v>
      </c>
      <c r="B66" s="124">
        <v>1015</v>
      </c>
      <c r="C66" s="37" t="s">
        <v>709</v>
      </c>
      <c r="D66" s="37" t="s">
        <v>710</v>
      </c>
      <c r="E66" s="37">
        <v>103128</v>
      </c>
      <c r="F66" s="37" t="s">
        <v>573</v>
      </c>
    </row>
    <row r="67" spans="1:6" x14ac:dyDescent="0.35">
      <c r="A67" s="37" t="s">
        <v>143</v>
      </c>
      <c r="B67" s="124">
        <v>1022</v>
      </c>
      <c r="C67" s="37" t="s">
        <v>711</v>
      </c>
      <c r="D67" s="37" t="s">
        <v>712</v>
      </c>
      <c r="E67" s="37">
        <v>103135</v>
      </c>
      <c r="F67" s="37" t="s">
        <v>573</v>
      </c>
    </row>
    <row r="68" spans="1:6" x14ac:dyDescent="0.35">
      <c r="A68" s="37" t="s">
        <v>386</v>
      </c>
      <c r="B68" s="124">
        <v>2087</v>
      </c>
      <c r="C68" s="37" t="s">
        <v>713</v>
      </c>
      <c r="D68" s="37" t="s">
        <v>714</v>
      </c>
      <c r="E68" s="37">
        <v>103205</v>
      </c>
      <c r="F68" s="37" t="s">
        <v>573</v>
      </c>
    </row>
    <row r="69" spans="1:6" x14ac:dyDescent="0.35">
      <c r="A69" s="37" t="s">
        <v>255</v>
      </c>
      <c r="B69" s="124">
        <v>2466</v>
      </c>
      <c r="C69" s="37" t="s">
        <v>715</v>
      </c>
      <c r="D69" s="37" t="s">
        <v>716</v>
      </c>
      <c r="E69" s="37">
        <v>103392</v>
      </c>
      <c r="F69" s="37" t="s">
        <v>573</v>
      </c>
    </row>
    <row r="70" spans="1:6" x14ac:dyDescent="0.35">
      <c r="A70" s="37" t="s">
        <v>171</v>
      </c>
      <c r="B70" s="124">
        <v>2091</v>
      </c>
      <c r="C70" s="37" t="s">
        <v>717</v>
      </c>
      <c r="D70" s="37" t="s">
        <v>718</v>
      </c>
      <c r="E70" s="37">
        <v>103208</v>
      </c>
      <c r="F70" s="37" t="s">
        <v>573</v>
      </c>
    </row>
    <row r="71" spans="1:6" x14ac:dyDescent="0.35">
      <c r="A71" s="37" t="s">
        <v>173</v>
      </c>
      <c r="B71" s="124">
        <v>2093</v>
      </c>
      <c r="C71" s="37" t="s">
        <v>719</v>
      </c>
      <c r="D71" s="37" t="s">
        <v>720</v>
      </c>
      <c r="E71" s="37">
        <v>103210</v>
      </c>
      <c r="F71" s="37" t="s">
        <v>589</v>
      </c>
    </row>
    <row r="72" spans="1:6" x14ac:dyDescent="0.35">
      <c r="A72" s="37" t="s">
        <v>388</v>
      </c>
      <c r="B72" s="124">
        <v>2092</v>
      </c>
      <c r="C72" s="37" t="s">
        <v>721</v>
      </c>
      <c r="D72" s="37" t="s">
        <v>722</v>
      </c>
      <c r="E72" s="37">
        <v>103209</v>
      </c>
      <c r="F72" s="37" t="s">
        <v>578</v>
      </c>
    </row>
    <row r="73" spans="1:6" x14ac:dyDescent="0.35">
      <c r="A73" s="37" t="s">
        <v>311</v>
      </c>
      <c r="B73" s="124">
        <v>7006</v>
      </c>
      <c r="C73" s="37" t="s">
        <v>723</v>
      </c>
      <c r="D73" s="37" t="s">
        <v>724</v>
      </c>
      <c r="E73" s="37">
        <v>103600</v>
      </c>
      <c r="F73" s="37" t="s">
        <v>573</v>
      </c>
    </row>
    <row r="74" spans="1:6" x14ac:dyDescent="0.35">
      <c r="A74" s="37" t="s">
        <v>257</v>
      </c>
      <c r="B74" s="124">
        <v>2477</v>
      </c>
      <c r="C74" s="37" t="s">
        <v>725</v>
      </c>
      <c r="D74" s="37" t="s">
        <v>726</v>
      </c>
      <c r="E74" s="37">
        <v>132261</v>
      </c>
      <c r="F74" s="37" t="s">
        <v>573</v>
      </c>
    </row>
    <row r="75" spans="1:6" x14ac:dyDescent="0.35">
      <c r="A75" s="37" t="s">
        <v>514</v>
      </c>
      <c r="B75" s="124">
        <v>3436</v>
      </c>
      <c r="C75" s="37" t="s">
        <v>727</v>
      </c>
      <c r="D75" s="37" t="s">
        <v>728</v>
      </c>
      <c r="E75" s="37">
        <v>136440</v>
      </c>
      <c r="F75" s="37" t="s">
        <v>573</v>
      </c>
    </row>
    <row r="76" spans="1:6" x14ac:dyDescent="0.35">
      <c r="A76" s="37" t="s">
        <v>390</v>
      </c>
      <c r="B76" s="124">
        <v>2099</v>
      </c>
      <c r="C76" s="37" t="s">
        <v>729</v>
      </c>
      <c r="D76" s="37" t="s">
        <v>730</v>
      </c>
      <c r="E76" s="37">
        <v>103214</v>
      </c>
      <c r="F76" s="37" t="s">
        <v>589</v>
      </c>
    </row>
    <row r="77" spans="1:6" x14ac:dyDescent="0.35">
      <c r="A77" s="37" t="s">
        <v>334</v>
      </c>
      <c r="B77" s="124">
        <v>1010</v>
      </c>
      <c r="C77" s="37" t="s">
        <v>731</v>
      </c>
      <c r="D77" s="37" t="s">
        <v>732</v>
      </c>
      <c r="E77" s="37">
        <v>103125</v>
      </c>
      <c r="F77" s="37" t="s">
        <v>573</v>
      </c>
    </row>
    <row r="78" spans="1:6" x14ac:dyDescent="0.35">
      <c r="A78" s="37" t="s">
        <v>348</v>
      </c>
      <c r="B78" s="124">
        <v>1021</v>
      </c>
      <c r="C78" s="37" t="s">
        <v>733</v>
      </c>
      <c r="D78" s="37" t="s">
        <v>734</v>
      </c>
      <c r="E78" s="37">
        <v>103134</v>
      </c>
      <c r="F78" s="37" t="s">
        <v>573</v>
      </c>
    </row>
    <row r="79" spans="1:6" x14ac:dyDescent="0.35">
      <c r="A79" s="37" t="s">
        <v>299</v>
      </c>
      <c r="B79" s="124">
        <v>4201</v>
      </c>
      <c r="C79" s="37" t="s">
        <v>735</v>
      </c>
      <c r="D79" s="37" t="s">
        <v>736</v>
      </c>
      <c r="E79" s="37">
        <v>103503</v>
      </c>
      <c r="F79" s="37" t="s">
        <v>578</v>
      </c>
    </row>
    <row r="80" spans="1:6" x14ac:dyDescent="0.35">
      <c r="A80" s="37" t="s">
        <v>291</v>
      </c>
      <c r="B80" s="124">
        <v>4015</v>
      </c>
      <c r="C80" s="37" t="s">
        <v>737</v>
      </c>
      <c r="D80" s="37" t="s">
        <v>738</v>
      </c>
      <c r="E80" s="37">
        <v>103483</v>
      </c>
      <c r="F80" s="37" t="s">
        <v>578</v>
      </c>
    </row>
    <row r="81" spans="1:6" x14ac:dyDescent="0.35">
      <c r="A81" s="37" t="s">
        <v>510</v>
      </c>
      <c r="B81" s="124">
        <v>3411</v>
      </c>
      <c r="C81" s="37" t="s">
        <v>739</v>
      </c>
      <c r="D81" s="37" t="s">
        <v>740</v>
      </c>
      <c r="E81" s="37">
        <v>103479</v>
      </c>
      <c r="F81" s="37" t="s">
        <v>573</v>
      </c>
    </row>
    <row r="82" spans="1:6" x14ac:dyDescent="0.35">
      <c r="A82" s="37" t="s">
        <v>324</v>
      </c>
      <c r="B82" s="124">
        <v>2474</v>
      </c>
      <c r="C82" s="37" t="s">
        <v>741</v>
      </c>
      <c r="D82" s="37" t="s">
        <v>742</v>
      </c>
      <c r="E82" s="37">
        <v>131672</v>
      </c>
      <c r="F82" s="37" t="s">
        <v>573</v>
      </c>
    </row>
    <row r="83" spans="1:6" x14ac:dyDescent="0.35">
      <c r="A83" s="37" t="s">
        <v>520</v>
      </c>
      <c r="B83" s="124">
        <v>4223</v>
      </c>
      <c r="C83" s="37" t="s">
        <v>743</v>
      </c>
      <c r="D83" s="37" t="s">
        <v>744</v>
      </c>
      <c r="E83" s="37">
        <v>103509</v>
      </c>
      <c r="F83" s="37" t="s">
        <v>578</v>
      </c>
    </row>
    <row r="84" spans="1:6" x14ac:dyDescent="0.35">
      <c r="A84" s="37" t="s">
        <v>464</v>
      </c>
      <c r="B84" s="124">
        <v>3317</v>
      </c>
      <c r="C84" s="37" t="s">
        <v>745</v>
      </c>
      <c r="D84" s="37" t="s">
        <v>746</v>
      </c>
      <c r="E84" s="37">
        <v>103421</v>
      </c>
      <c r="F84" s="37" t="s">
        <v>573</v>
      </c>
    </row>
    <row r="85" spans="1:6" x14ac:dyDescent="0.35">
      <c r="A85" s="37" t="s">
        <v>145</v>
      </c>
      <c r="B85" s="124">
        <v>1023</v>
      </c>
      <c r="C85" s="37" t="s">
        <v>747</v>
      </c>
      <c r="D85" s="37" t="s">
        <v>748</v>
      </c>
      <c r="E85" s="37">
        <v>103136</v>
      </c>
      <c r="F85" s="37" t="s">
        <v>573</v>
      </c>
    </row>
    <row r="86" spans="1:6" x14ac:dyDescent="0.35">
      <c r="A86" s="37" t="s">
        <v>370</v>
      </c>
      <c r="B86" s="124">
        <v>2015</v>
      </c>
      <c r="C86" s="37" t="s">
        <v>749</v>
      </c>
      <c r="D86" s="37" t="s">
        <v>750</v>
      </c>
      <c r="E86" s="37">
        <v>134102</v>
      </c>
      <c r="F86" s="37" t="s">
        <v>578</v>
      </c>
    </row>
    <row r="87" spans="1:6" x14ac:dyDescent="0.35">
      <c r="A87" s="37" t="s">
        <v>484</v>
      </c>
      <c r="B87" s="124">
        <v>3352</v>
      </c>
      <c r="C87" s="37" t="s">
        <v>751</v>
      </c>
      <c r="D87" s="37" t="s">
        <v>752</v>
      </c>
      <c r="E87" s="37">
        <v>103444</v>
      </c>
      <c r="F87" s="37" t="s">
        <v>573</v>
      </c>
    </row>
    <row r="88" spans="1:6" x14ac:dyDescent="0.35">
      <c r="A88" s="37" t="s">
        <v>293</v>
      </c>
      <c r="B88" s="124">
        <v>4063</v>
      </c>
      <c r="C88" s="37" t="s">
        <v>753</v>
      </c>
      <c r="D88" s="37" t="s">
        <v>754</v>
      </c>
      <c r="E88" s="37">
        <v>103486</v>
      </c>
      <c r="F88" s="37" t="s">
        <v>578</v>
      </c>
    </row>
    <row r="89" spans="1:6" x14ac:dyDescent="0.35">
      <c r="A89" s="37" t="s">
        <v>362</v>
      </c>
      <c r="B89" s="124">
        <v>2005</v>
      </c>
      <c r="C89" s="37" t="s">
        <v>755</v>
      </c>
      <c r="D89" s="37" t="s">
        <v>756</v>
      </c>
      <c r="E89" s="37">
        <v>134098</v>
      </c>
      <c r="F89" s="37" t="s">
        <v>573</v>
      </c>
    </row>
    <row r="90" spans="1:6" x14ac:dyDescent="0.35">
      <c r="A90" s="37" t="s">
        <v>340</v>
      </c>
      <c r="B90" s="124">
        <v>1016</v>
      </c>
      <c r="C90" s="37" t="s">
        <v>757</v>
      </c>
      <c r="D90" s="37" t="s">
        <v>758</v>
      </c>
      <c r="E90" s="37">
        <v>103129</v>
      </c>
      <c r="F90" s="37" t="s">
        <v>573</v>
      </c>
    </row>
    <row r="91" spans="1:6" x14ac:dyDescent="0.35">
      <c r="A91" s="37" t="s">
        <v>394</v>
      </c>
      <c r="B91" s="124">
        <v>2115</v>
      </c>
      <c r="C91" s="37" t="s">
        <v>759</v>
      </c>
      <c r="D91" s="37" t="s">
        <v>760</v>
      </c>
      <c r="E91" s="37">
        <v>103221</v>
      </c>
      <c r="F91" s="37" t="s">
        <v>573</v>
      </c>
    </row>
    <row r="92" spans="1:6" x14ac:dyDescent="0.35">
      <c r="A92" s="37" t="s">
        <v>438</v>
      </c>
      <c r="B92" s="124">
        <v>2441</v>
      </c>
      <c r="C92" s="37" t="s">
        <v>761</v>
      </c>
      <c r="D92" s="37" t="s">
        <v>762</v>
      </c>
      <c r="E92" s="37">
        <v>103368</v>
      </c>
      <c r="F92" s="37" t="s">
        <v>573</v>
      </c>
    </row>
    <row r="93" spans="1:6" x14ac:dyDescent="0.35">
      <c r="A93" s="37" t="s">
        <v>235</v>
      </c>
      <c r="B93" s="124">
        <v>2321</v>
      </c>
      <c r="C93" s="37" t="s">
        <v>763</v>
      </c>
      <c r="D93" s="37" t="s">
        <v>764</v>
      </c>
      <c r="E93" s="37">
        <v>103339</v>
      </c>
      <c r="F93" s="37" t="s">
        <v>573</v>
      </c>
    </row>
    <row r="94" spans="1:6" x14ac:dyDescent="0.35">
      <c r="A94" s="37" t="s">
        <v>197</v>
      </c>
      <c r="B94" s="124">
        <v>2189</v>
      </c>
      <c r="C94" s="37" t="s">
        <v>765</v>
      </c>
      <c r="D94" s="37" t="s">
        <v>766</v>
      </c>
      <c r="E94" s="37">
        <v>103265</v>
      </c>
      <c r="F94" s="37" t="s">
        <v>589</v>
      </c>
    </row>
    <row r="95" spans="1:6" x14ac:dyDescent="0.35">
      <c r="A95" s="37" t="s">
        <v>321</v>
      </c>
      <c r="B95" s="124">
        <v>7060</v>
      </c>
      <c r="C95" s="37" t="s">
        <v>767</v>
      </c>
      <c r="D95" s="37" t="s">
        <v>768</v>
      </c>
      <c r="E95" s="37">
        <v>103630</v>
      </c>
      <c r="F95" s="37" t="s">
        <v>589</v>
      </c>
    </row>
    <row r="96" spans="1:6" x14ac:dyDescent="0.35">
      <c r="A96" s="37" t="s">
        <v>350</v>
      </c>
      <c r="B96" s="124">
        <v>1024</v>
      </c>
      <c r="C96" s="37" t="s">
        <v>769</v>
      </c>
      <c r="D96" s="37" t="s">
        <v>770</v>
      </c>
      <c r="E96" s="37">
        <v>103137</v>
      </c>
      <c r="F96" s="37" t="s">
        <v>573</v>
      </c>
    </row>
    <row r="97" spans="1:6" x14ac:dyDescent="0.35">
      <c r="A97" s="37" t="s">
        <v>552</v>
      </c>
      <c r="B97" s="124">
        <v>7062</v>
      </c>
      <c r="C97" s="37" t="s">
        <v>771</v>
      </c>
      <c r="D97" s="37" t="s">
        <v>772</v>
      </c>
      <c r="E97" s="37">
        <v>103632</v>
      </c>
      <c r="F97" s="37" t="s">
        <v>573</v>
      </c>
    </row>
    <row r="98" spans="1:6" x14ac:dyDescent="0.35">
      <c r="A98" s="37" t="s">
        <v>253</v>
      </c>
      <c r="B98" s="124">
        <v>2462</v>
      </c>
      <c r="C98" s="37" t="s">
        <v>773</v>
      </c>
      <c r="D98" s="37" t="s">
        <v>774</v>
      </c>
      <c r="E98" s="37">
        <v>103388</v>
      </c>
      <c r="F98" s="37" t="s">
        <v>578</v>
      </c>
    </row>
    <row r="99" spans="1:6" x14ac:dyDescent="0.35">
      <c r="A99" s="37" t="s">
        <v>532</v>
      </c>
      <c r="B99" s="124">
        <v>7012</v>
      </c>
      <c r="C99" s="37" t="s">
        <v>775</v>
      </c>
      <c r="D99" s="37" t="s">
        <v>776</v>
      </c>
      <c r="E99" s="37">
        <v>103603</v>
      </c>
      <c r="F99" s="37" t="s">
        <v>589</v>
      </c>
    </row>
    <row r="100" spans="1:6" x14ac:dyDescent="0.35">
      <c r="A100" s="37" t="s">
        <v>177</v>
      </c>
      <c r="B100" s="124">
        <v>2127</v>
      </c>
      <c r="C100" s="37" t="s">
        <v>777</v>
      </c>
      <c r="D100" s="37" t="s">
        <v>778</v>
      </c>
      <c r="E100" s="37">
        <v>103227</v>
      </c>
      <c r="F100" s="37" t="s">
        <v>578</v>
      </c>
    </row>
    <row r="101" spans="1:6" x14ac:dyDescent="0.35">
      <c r="A101" s="37" t="s">
        <v>181</v>
      </c>
      <c r="B101" s="124">
        <v>2129</v>
      </c>
      <c r="C101" s="37" t="s">
        <v>779</v>
      </c>
      <c r="D101" s="37" t="s">
        <v>780</v>
      </c>
      <c r="E101" s="37">
        <v>103229</v>
      </c>
      <c r="F101" s="37" t="s">
        <v>578</v>
      </c>
    </row>
    <row r="102" spans="1:6" x14ac:dyDescent="0.35">
      <c r="A102" s="37" t="s">
        <v>179</v>
      </c>
      <c r="B102" s="124">
        <v>2128</v>
      </c>
      <c r="C102" s="37" t="s">
        <v>781</v>
      </c>
      <c r="D102" s="37" t="s">
        <v>782</v>
      </c>
      <c r="E102" s="37">
        <v>103228</v>
      </c>
      <c r="F102" s="37" t="s">
        <v>578</v>
      </c>
    </row>
    <row r="103" spans="1:6" x14ac:dyDescent="0.35">
      <c r="A103" s="37" t="s">
        <v>243</v>
      </c>
      <c r="B103" s="124">
        <v>2420</v>
      </c>
      <c r="C103" s="37" t="s">
        <v>783</v>
      </c>
      <c r="D103" s="37" t="s">
        <v>784</v>
      </c>
      <c r="E103" s="37">
        <v>103353</v>
      </c>
      <c r="F103" s="37" t="s">
        <v>589</v>
      </c>
    </row>
    <row r="104" spans="1:6" x14ac:dyDescent="0.35">
      <c r="A104" s="37" t="s">
        <v>155</v>
      </c>
      <c r="B104" s="124">
        <v>2004</v>
      </c>
      <c r="C104" s="37" t="s">
        <v>785</v>
      </c>
      <c r="D104" s="37" t="s">
        <v>786</v>
      </c>
      <c r="E104" s="37">
        <v>134094</v>
      </c>
      <c r="F104" s="37" t="s">
        <v>573</v>
      </c>
    </row>
    <row r="105" spans="1:6" x14ac:dyDescent="0.35">
      <c r="A105" s="37" t="s">
        <v>139</v>
      </c>
      <c r="B105" s="124">
        <v>1012</v>
      </c>
      <c r="C105" s="37" t="s">
        <v>787</v>
      </c>
      <c r="D105" s="37" t="s">
        <v>788</v>
      </c>
      <c r="E105" s="37">
        <v>103126</v>
      </c>
      <c r="F105" s="37" t="s">
        <v>573</v>
      </c>
    </row>
    <row r="106" spans="1:6" x14ac:dyDescent="0.35">
      <c r="A106" s="37" t="s">
        <v>396</v>
      </c>
      <c r="B106" s="124">
        <v>2133</v>
      </c>
      <c r="C106" s="37" t="s">
        <v>789</v>
      </c>
      <c r="D106" s="37" t="s">
        <v>790</v>
      </c>
      <c r="E106" s="37">
        <v>103233</v>
      </c>
      <c r="F106" s="37" t="s">
        <v>578</v>
      </c>
    </row>
    <row r="107" spans="1:6" x14ac:dyDescent="0.35">
      <c r="A107" s="37" t="s">
        <v>468</v>
      </c>
      <c r="B107" s="124">
        <v>3322</v>
      </c>
      <c r="C107" s="37" t="s">
        <v>791</v>
      </c>
      <c r="D107" s="37" t="s">
        <v>792</v>
      </c>
      <c r="E107" s="37">
        <v>103426</v>
      </c>
      <c r="F107" s="37" t="s">
        <v>578</v>
      </c>
    </row>
    <row r="108" spans="1:6" x14ac:dyDescent="0.35">
      <c r="A108" s="37" t="s">
        <v>430</v>
      </c>
      <c r="B108" s="124">
        <v>2406</v>
      </c>
      <c r="C108" s="37" t="s">
        <v>793</v>
      </c>
      <c r="D108" s="37" t="s">
        <v>794</v>
      </c>
      <c r="E108" s="37">
        <v>103345</v>
      </c>
      <c r="F108" s="37" t="s">
        <v>589</v>
      </c>
    </row>
    <row r="109" spans="1:6" x14ac:dyDescent="0.35">
      <c r="A109" s="37" t="s">
        <v>241</v>
      </c>
      <c r="B109" s="124">
        <v>2416</v>
      </c>
      <c r="C109" s="37" t="s">
        <v>795</v>
      </c>
      <c r="D109" s="37" t="s">
        <v>796</v>
      </c>
      <c r="E109" s="37">
        <v>103351</v>
      </c>
      <c r="F109" s="37" t="s">
        <v>578</v>
      </c>
    </row>
    <row r="110" spans="1:6" x14ac:dyDescent="0.35">
      <c r="A110" s="37" t="s">
        <v>454</v>
      </c>
      <c r="B110" s="124">
        <v>3003</v>
      </c>
      <c r="C110" s="37" t="s">
        <v>797</v>
      </c>
      <c r="D110" s="37" t="s">
        <v>798</v>
      </c>
      <c r="E110" s="37">
        <v>103398</v>
      </c>
      <c r="F110" s="37" t="s">
        <v>573</v>
      </c>
    </row>
    <row r="111" spans="1:6" x14ac:dyDescent="0.35">
      <c r="A111" s="37" t="s">
        <v>522</v>
      </c>
      <c r="B111" s="124">
        <v>4245</v>
      </c>
      <c r="C111" s="37" t="s">
        <v>799</v>
      </c>
      <c r="D111" s="37" t="s">
        <v>800</v>
      </c>
      <c r="E111" s="37">
        <v>103519</v>
      </c>
      <c r="F111" s="37" t="s">
        <v>578</v>
      </c>
    </row>
    <row r="112" spans="1:6" x14ac:dyDescent="0.35">
      <c r="A112" s="37" t="s">
        <v>251</v>
      </c>
      <c r="B112" s="124">
        <v>2457</v>
      </c>
      <c r="C112" s="37" t="s">
        <v>801</v>
      </c>
      <c r="D112" s="37" t="s">
        <v>802</v>
      </c>
      <c r="E112" s="37">
        <v>103384</v>
      </c>
      <c r="F112" s="37" t="s">
        <v>573</v>
      </c>
    </row>
    <row r="113" spans="1:6" x14ac:dyDescent="0.35">
      <c r="A113" s="37" t="s">
        <v>398</v>
      </c>
      <c r="B113" s="124">
        <v>2142</v>
      </c>
      <c r="C113" s="37" t="s">
        <v>803</v>
      </c>
      <c r="D113" s="37" t="s">
        <v>804</v>
      </c>
      <c r="E113" s="37">
        <v>103237</v>
      </c>
      <c r="F113" s="37" t="s">
        <v>573</v>
      </c>
    </row>
    <row r="114" spans="1:6" x14ac:dyDescent="0.35">
      <c r="A114" s="37" t="s">
        <v>444</v>
      </c>
      <c r="B114" s="124">
        <v>2469</v>
      </c>
      <c r="C114" s="37" t="s">
        <v>805</v>
      </c>
      <c r="D114" s="37" t="s">
        <v>806</v>
      </c>
      <c r="E114" s="37">
        <v>103395</v>
      </c>
      <c r="F114" s="37" t="s">
        <v>573</v>
      </c>
    </row>
    <row r="115" spans="1:6" x14ac:dyDescent="0.35">
      <c r="A115" s="37" t="s">
        <v>285</v>
      </c>
      <c r="B115" s="124">
        <v>3431</v>
      </c>
      <c r="C115" s="37" t="s">
        <v>807</v>
      </c>
      <c r="D115" s="37" t="s">
        <v>808</v>
      </c>
      <c r="E115" s="37">
        <v>134774</v>
      </c>
      <c r="F115" s="37" t="s">
        <v>573</v>
      </c>
    </row>
    <row r="116" spans="1:6" x14ac:dyDescent="0.35">
      <c r="A116" s="37" t="s">
        <v>356</v>
      </c>
      <c r="B116" s="124">
        <v>1028</v>
      </c>
      <c r="C116" s="37" t="s">
        <v>809</v>
      </c>
      <c r="D116" s="37" t="s">
        <v>810</v>
      </c>
      <c r="E116" s="37">
        <v>103141</v>
      </c>
      <c r="F116" s="37" t="s">
        <v>573</v>
      </c>
    </row>
    <row r="117" spans="1:6" x14ac:dyDescent="0.35">
      <c r="A117" s="37" t="s">
        <v>151</v>
      </c>
      <c r="B117" s="124">
        <v>1049</v>
      </c>
      <c r="C117" s="37" t="s">
        <v>811</v>
      </c>
      <c r="D117" s="37" t="s">
        <v>812</v>
      </c>
      <c r="E117" s="37">
        <v>103145</v>
      </c>
      <c r="F117" s="37" t="s">
        <v>573</v>
      </c>
    </row>
    <row r="118" spans="1:6" x14ac:dyDescent="0.35">
      <c r="A118" s="37" t="s">
        <v>319</v>
      </c>
      <c r="B118" s="124">
        <v>7053</v>
      </c>
      <c r="C118" s="37" t="s">
        <v>813</v>
      </c>
      <c r="D118" s="37" t="s">
        <v>814</v>
      </c>
      <c r="E118" s="37">
        <v>103628</v>
      </c>
      <c r="F118" s="37" t="s">
        <v>578</v>
      </c>
    </row>
    <row r="119" spans="1:6" x14ac:dyDescent="0.35">
      <c r="A119" s="37" t="s">
        <v>271</v>
      </c>
      <c r="B119" s="124">
        <v>3351</v>
      </c>
      <c r="C119" s="37" t="s">
        <v>815</v>
      </c>
      <c r="D119" s="37" t="s">
        <v>816</v>
      </c>
      <c r="E119" s="37">
        <v>103443</v>
      </c>
      <c r="F119" s="37" t="s">
        <v>589</v>
      </c>
    </row>
    <row r="120" spans="1:6" x14ac:dyDescent="0.35">
      <c r="A120" s="37" t="s">
        <v>269</v>
      </c>
      <c r="B120" s="124">
        <v>3328</v>
      </c>
      <c r="C120" s="37" t="s">
        <v>817</v>
      </c>
      <c r="D120" s="37" t="s">
        <v>818</v>
      </c>
      <c r="E120" s="37">
        <v>103430</v>
      </c>
      <c r="F120" s="37" t="s">
        <v>589</v>
      </c>
    </row>
    <row r="121" spans="1:6" x14ac:dyDescent="0.35">
      <c r="A121" s="37" t="s">
        <v>400</v>
      </c>
      <c r="B121" s="124">
        <v>2149</v>
      </c>
      <c r="C121" s="37" t="s">
        <v>819</v>
      </c>
      <c r="D121" s="37" t="s">
        <v>820</v>
      </c>
      <c r="E121" s="37">
        <v>103240</v>
      </c>
      <c r="F121" s="37" t="s">
        <v>573</v>
      </c>
    </row>
    <row r="122" spans="1:6" x14ac:dyDescent="0.35">
      <c r="A122" s="37" t="s">
        <v>183</v>
      </c>
      <c r="B122" s="124">
        <v>2150</v>
      </c>
      <c r="C122" s="37" t="s">
        <v>821</v>
      </c>
      <c r="D122" s="37" t="s">
        <v>822</v>
      </c>
      <c r="E122" s="37">
        <v>103241</v>
      </c>
      <c r="F122" s="37" t="s">
        <v>573</v>
      </c>
    </row>
    <row r="123" spans="1:6" x14ac:dyDescent="0.35">
      <c r="A123" s="37" t="s">
        <v>434</v>
      </c>
      <c r="B123" s="124">
        <v>2425</v>
      </c>
      <c r="C123" s="37" t="s">
        <v>823</v>
      </c>
      <c r="D123" s="37" t="s">
        <v>824</v>
      </c>
      <c r="E123" s="37">
        <v>103356</v>
      </c>
      <c r="F123" s="37" t="s">
        <v>573</v>
      </c>
    </row>
    <row r="124" spans="1:6" x14ac:dyDescent="0.35">
      <c r="A124" s="37" t="s">
        <v>137</v>
      </c>
      <c r="B124" s="124">
        <v>1008</v>
      </c>
      <c r="C124" s="37" t="s">
        <v>825</v>
      </c>
      <c r="D124" s="37" t="s">
        <v>826</v>
      </c>
      <c r="E124" s="37">
        <v>103123</v>
      </c>
      <c r="F124" s="37" t="s">
        <v>573</v>
      </c>
    </row>
    <row r="125" spans="1:6" x14ac:dyDescent="0.35">
      <c r="A125" s="37" t="s">
        <v>542</v>
      </c>
      <c r="B125" s="124">
        <v>7034</v>
      </c>
      <c r="C125" s="37" t="s">
        <v>827</v>
      </c>
      <c r="D125" s="37" t="s">
        <v>828</v>
      </c>
      <c r="E125" s="37">
        <v>103614</v>
      </c>
      <c r="F125" s="37" t="s">
        <v>573</v>
      </c>
    </row>
    <row r="126" spans="1:6" x14ac:dyDescent="0.35">
      <c r="A126" s="37" t="s">
        <v>297</v>
      </c>
      <c r="B126" s="124">
        <v>4173</v>
      </c>
      <c r="C126" s="37" t="s">
        <v>829</v>
      </c>
      <c r="D126" s="37" t="s">
        <v>830</v>
      </c>
      <c r="E126" s="37">
        <v>103497</v>
      </c>
      <c r="F126" s="37" t="s">
        <v>578</v>
      </c>
    </row>
    <row r="127" spans="1:6" x14ac:dyDescent="0.35">
      <c r="A127" s="37" t="s">
        <v>402</v>
      </c>
      <c r="B127" s="124">
        <v>2157</v>
      </c>
      <c r="C127" s="37" t="s">
        <v>831</v>
      </c>
      <c r="D127" s="37" t="s">
        <v>832</v>
      </c>
      <c r="E127" s="37">
        <v>103246</v>
      </c>
      <c r="F127" s="37" t="s">
        <v>573</v>
      </c>
    </row>
    <row r="128" spans="1:6" x14ac:dyDescent="0.35">
      <c r="A128" s="37" t="s">
        <v>187</v>
      </c>
      <c r="B128" s="124">
        <v>2159</v>
      </c>
      <c r="C128" s="37" t="s">
        <v>833</v>
      </c>
      <c r="D128" s="37" t="s">
        <v>834</v>
      </c>
      <c r="E128" s="37">
        <v>103247</v>
      </c>
      <c r="F128" s="37" t="s">
        <v>573</v>
      </c>
    </row>
    <row r="129" spans="1:6" x14ac:dyDescent="0.35">
      <c r="A129" s="37" t="s">
        <v>189</v>
      </c>
      <c r="B129" s="124">
        <v>2161</v>
      </c>
      <c r="C129" s="37" t="s">
        <v>835</v>
      </c>
      <c r="D129" s="37" t="s">
        <v>836</v>
      </c>
      <c r="E129" s="37">
        <v>103249</v>
      </c>
      <c r="F129" s="37" t="s">
        <v>573</v>
      </c>
    </row>
    <row r="130" spans="1:6" x14ac:dyDescent="0.35">
      <c r="A130" s="37" t="s">
        <v>404</v>
      </c>
      <c r="B130" s="124">
        <v>2160</v>
      </c>
      <c r="C130" s="37" t="s">
        <v>837</v>
      </c>
      <c r="D130" s="37" t="s">
        <v>838</v>
      </c>
      <c r="E130" s="37">
        <v>103248</v>
      </c>
      <c r="F130" s="37" t="s">
        <v>589</v>
      </c>
    </row>
    <row r="131" spans="1:6" x14ac:dyDescent="0.35">
      <c r="A131" s="37" t="s">
        <v>167</v>
      </c>
      <c r="B131" s="124">
        <v>2063</v>
      </c>
      <c r="C131" s="37" t="s">
        <v>839</v>
      </c>
      <c r="D131" s="37" t="s">
        <v>840</v>
      </c>
      <c r="E131" s="37">
        <v>103193</v>
      </c>
      <c r="F131" s="37" t="s">
        <v>589</v>
      </c>
    </row>
    <row r="132" spans="1:6" x14ac:dyDescent="0.35">
      <c r="A132" s="37" t="s">
        <v>141</v>
      </c>
      <c r="B132" s="124">
        <v>1018</v>
      </c>
      <c r="C132" s="37" t="s">
        <v>841</v>
      </c>
      <c r="D132" s="37" t="s">
        <v>842</v>
      </c>
      <c r="E132" s="37">
        <v>103131</v>
      </c>
      <c r="F132" s="37" t="s">
        <v>573</v>
      </c>
    </row>
    <row r="133" spans="1:6" x14ac:dyDescent="0.35">
      <c r="A133" s="37" t="s">
        <v>326</v>
      </c>
      <c r="B133" s="124">
        <v>1000</v>
      </c>
      <c r="C133" s="37" t="s">
        <v>843</v>
      </c>
      <c r="D133" s="37" t="s">
        <v>844</v>
      </c>
      <c r="E133" s="37">
        <v>137796</v>
      </c>
      <c r="F133" s="37" t="s">
        <v>573</v>
      </c>
    </row>
    <row r="134" spans="1:6" x14ac:dyDescent="0.35">
      <c r="A134" s="37" t="s">
        <v>540</v>
      </c>
      <c r="B134" s="124">
        <v>7033</v>
      </c>
      <c r="C134" s="37" t="s">
        <v>845</v>
      </c>
      <c r="D134" s="37" t="s">
        <v>846</v>
      </c>
      <c r="E134" s="37">
        <v>103613</v>
      </c>
      <c r="F134" s="37" t="s">
        <v>578</v>
      </c>
    </row>
    <row r="135" spans="1:6" x14ac:dyDescent="0.35">
      <c r="A135" s="37" t="s">
        <v>516</v>
      </c>
      <c r="B135" s="124">
        <v>4177</v>
      </c>
      <c r="C135" s="37" t="s">
        <v>847</v>
      </c>
      <c r="D135" s="37" t="s">
        <v>848</v>
      </c>
      <c r="E135" s="37">
        <v>103498</v>
      </c>
      <c r="F135" s="37" t="s">
        <v>578</v>
      </c>
    </row>
    <row r="136" spans="1:6" x14ac:dyDescent="0.35">
      <c r="A136" s="37" t="s">
        <v>191</v>
      </c>
      <c r="B136" s="124">
        <v>2169</v>
      </c>
      <c r="C136" s="37" t="s">
        <v>849</v>
      </c>
      <c r="D136" s="37" t="s">
        <v>850</v>
      </c>
      <c r="E136" s="37">
        <v>103252</v>
      </c>
      <c r="F136" s="37" t="s">
        <v>573</v>
      </c>
    </row>
    <row r="137" spans="1:6" x14ac:dyDescent="0.35">
      <c r="A137" s="37" t="s">
        <v>364</v>
      </c>
      <c r="B137" s="124">
        <v>2008</v>
      </c>
      <c r="C137" s="37" t="s">
        <v>851</v>
      </c>
      <c r="D137" s="37" t="s">
        <v>852</v>
      </c>
      <c r="E137" s="37">
        <v>103157</v>
      </c>
      <c r="F137" s="37" t="s">
        <v>589</v>
      </c>
    </row>
    <row r="138" spans="1:6" x14ac:dyDescent="0.35">
      <c r="A138" s="37" t="s">
        <v>358</v>
      </c>
      <c r="B138" s="124">
        <v>1038</v>
      </c>
      <c r="C138" s="37" t="s">
        <v>853</v>
      </c>
      <c r="D138" s="37" t="s">
        <v>854</v>
      </c>
      <c r="E138" s="37">
        <v>103142</v>
      </c>
      <c r="F138" s="37" t="s">
        <v>578</v>
      </c>
    </row>
    <row r="139" spans="1:6" x14ac:dyDescent="0.35">
      <c r="A139" s="37" t="s">
        <v>193</v>
      </c>
      <c r="B139" s="124">
        <v>2174</v>
      </c>
      <c r="C139" s="37" t="s">
        <v>855</v>
      </c>
      <c r="D139" s="37" t="s">
        <v>856</v>
      </c>
      <c r="E139" s="37">
        <v>103255</v>
      </c>
      <c r="F139" s="37" t="s">
        <v>578</v>
      </c>
    </row>
    <row r="140" spans="1:6" x14ac:dyDescent="0.35">
      <c r="A140" s="37" t="s">
        <v>406</v>
      </c>
      <c r="B140" s="124">
        <v>2176</v>
      </c>
      <c r="C140" s="37" t="s">
        <v>857</v>
      </c>
      <c r="D140" s="37" t="s">
        <v>858</v>
      </c>
      <c r="E140" s="37">
        <v>103256</v>
      </c>
      <c r="F140" s="37" t="s">
        <v>589</v>
      </c>
    </row>
    <row r="141" spans="1:6" x14ac:dyDescent="0.35">
      <c r="A141" s="37" t="s">
        <v>546</v>
      </c>
      <c r="B141" s="124">
        <v>7047</v>
      </c>
      <c r="C141" s="37" t="s">
        <v>859</v>
      </c>
      <c r="D141" s="37" t="s">
        <v>860</v>
      </c>
      <c r="E141" s="37">
        <v>103623</v>
      </c>
      <c r="F141" s="37" t="s">
        <v>573</v>
      </c>
    </row>
    <row r="142" spans="1:6" x14ac:dyDescent="0.35">
      <c r="A142" s="37" t="s">
        <v>281</v>
      </c>
      <c r="B142" s="124">
        <v>3410</v>
      </c>
      <c r="C142" s="37" t="s">
        <v>861</v>
      </c>
      <c r="D142" s="37" t="s">
        <v>862</v>
      </c>
      <c r="E142" s="37">
        <v>103478</v>
      </c>
      <c r="F142" s="37" t="s">
        <v>589</v>
      </c>
    </row>
    <row r="143" spans="1:6" x14ac:dyDescent="0.35">
      <c r="A143" s="37" t="s">
        <v>502</v>
      </c>
      <c r="B143" s="124">
        <v>3381</v>
      </c>
      <c r="C143" s="37" t="s">
        <v>863</v>
      </c>
      <c r="D143" s="37" t="s">
        <v>864</v>
      </c>
      <c r="E143" s="37">
        <v>103466</v>
      </c>
      <c r="F143" s="37" t="s">
        <v>573</v>
      </c>
    </row>
    <row r="144" spans="1:6" x14ac:dyDescent="0.35">
      <c r="A144" s="37" t="s">
        <v>500</v>
      </c>
      <c r="B144" s="124">
        <v>3380</v>
      </c>
      <c r="C144" s="37" t="s">
        <v>865</v>
      </c>
      <c r="D144" s="37" t="s">
        <v>866</v>
      </c>
      <c r="E144" s="37">
        <v>103465</v>
      </c>
      <c r="F144" s="37" t="s">
        <v>589</v>
      </c>
    </row>
    <row r="145" spans="1:6" x14ac:dyDescent="0.35">
      <c r="A145" s="37" t="s">
        <v>476</v>
      </c>
      <c r="B145" s="124">
        <v>3335</v>
      </c>
      <c r="C145" s="37" t="s">
        <v>867</v>
      </c>
      <c r="D145" s="37" t="s">
        <v>868</v>
      </c>
      <c r="E145" s="37">
        <v>103434</v>
      </c>
      <c r="F145" s="37" t="s">
        <v>589</v>
      </c>
    </row>
    <row r="146" spans="1:6" x14ac:dyDescent="0.35">
      <c r="A146" s="37" t="s">
        <v>472</v>
      </c>
      <c r="B146" s="124">
        <v>3329</v>
      </c>
      <c r="C146" s="37" t="s">
        <v>869</v>
      </c>
      <c r="D146" s="37" t="s">
        <v>870</v>
      </c>
      <c r="E146" s="37">
        <v>103431</v>
      </c>
      <c r="F146" s="37" t="s">
        <v>573</v>
      </c>
    </row>
    <row r="147" spans="1:6" x14ac:dyDescent="0.35">
      <c r="A147" s="37" t="s">
        <v>408</v>
      </c>
      <c r="B147" s="124">
        <v>2183</v>
      </c>
      <c r="C147" s="37" t="s">
        <v>871</v>
      </c>
      <c r="D147" s="37" t="s">
        <v>872</v>
      </c>
      <c r="E147" s="37">
        <v>103261</v>
      </c>
      <c r="F147" s="37" t="s">
        <v>573</v>
      </c>
    </row>
    <row r="148" spans="1:6" x14ac:dyDescent="0.35">
      <c r="A148" s="37" t="s">
        <v>496</v>
      </c>
      <c r="B148" s="124">
        <v>3372</v>
      </c>
      <c r="C148" s="37" t="s">
        <v>873</v>
      </c>
      <c r="D148" s="37" t="s">
        <v>874</v>
      </c>
      <c r="E148" s="37">
        <v>103460</v>
      </c>
      <c r="F148" s="37" t="s">
        <v>589</v>
      </c>
    </row>
    <row r="149" spans="1:6" x14ac:dyDescent="0.35">
      <c r="A149" s="37" t="s">
        <v>277</v>
      </c>
      <c r="B149" s="124">
        <v>3375</v>
      </c>
      <c r="C149" s="37" t="s">
        <v>875</v>
      </c>
      <c r="D149" s="37" t="s">
        <v>876</v>
      </c>
      <c r="E149" s="37">
        <v>103462</v>
      </c>
      <c r="F149" s="37" t="s">
        <v>578</v>
      </c>
    </row>
    <row r="150" spans="1:6" x14ac:dyDescent="0.35">
      <c r="A150" s="37" t="s">
        <v>474</v>
      </c>
      <c r="B150" s="124">
        <v>3331</v>
      </c>
      <c r="C150" s="37" t="s">
        <v>877</v>
      </c>
      <c r="D150" s="37" t="s">
        <v>878</v>
      </c>
      <c r="E150" s="37">
        <v>103433</v>
      </c>
      <c r="F150" s="37" t="s">
        <v>573</v>
      </c>
    </row>
    <row r="151" spans="1:6" x14ac:dyDescent="0.35">
      <c r="A151" s="37" t="s">
        <v>508</v>
      </c>
      <c r="B151" s="124">
        <v>3406</v>
      </c>
      <c r="C151" s="37" t="s">
        <v>879</v>
      </c>
      <c r="D151" s="37" t="s">
        <v>880</v>
      </c>
      <c r="E151" s="37">
        <v>103476</v>
      </c>
      <c r="F151" s="37" t="s">
        <v>573</v>
      </c>
    </row>
    <row r="152" spans="1:6" x14ac:dyDescent="0.35">
      <c r="A152" s="37" t="s">
        <v>279</v>
      </c>
      <c r="B152" s="124">
        <v>3386</v>
      </c>
      <c r="C152" s="37" t="s">
        <v>881</v>
      </c>
      <c r="D152" s="37" t="s">
        <v>882</v>
      </c>
      <c r="E152" s="37">
        <v>103470</v>
      </c>
      <c r="F152" s="37" t="s">
        <v>573</v>
      </c>
    </row>
    <row r="153" spans="1:6" x14ac:dyDescent="0.35">
      <c r="A153" s="37" t="s">
        <v>490</v>
      </c>
      <c r="B153" s="124">
        <v>3363</v>
      </c>
      <c r="C153" s="37" t="s">
        <v>883</v>
      </c>
      <c r="D153" s="37" t="s">
        <v>884</v>
      </c>
      <c r="E153" s="37">
        <v>103455</v>
      </c>
      <c r="F153" s="37" t="s">
        <v>578</v>
      </c>
    </row>
    <row r="154" spans="1:6" x14ac:dyDescent="0.35">
      <c r="A154" s="37" t="s">
        <v>273</v>
      </c>
      <c r="B154" s="124">
        <v>3355</v>
      </c>
      <c r="C154" s="37" t="s">
        <v>885</v>
      </c>
      <c r="D154" s="37" t="s">
        <v>886</v>
      </c>
      <c r="E154" s="37">
        <v>103447</v>
      </c>
      <c r="F154" s="37" t="s">
        <v>589</v>
      </c>
    </row>
    <row r="155" spans="1:6" x14ac:dyDescent="0.35">
      <c r="A155" s="37" t="s">
        <v>478</v>
      </c>
      <c r="B155" s="124">
        <v>3342</v>
      </c>
      <c r="C155" s="37" t="s">
        <v>887</v>
      </c>
      <c r="D155" s="37" t="s">
        <v>888</v>
      </c>
      <c r="E155" s="37">
        <v>103437</v>
      </c>
      <c r="F155" s="37" t="s">
        <v>573</v>
      </c>
    </row>
    <row r="156" spans="1:6" x14ac:dyDescent="0.35">
      <c r="A156" s="37" t="s">
        <v>494</v>
      </c>
      <c r="B156" s="124">
        <v>3367</v>
      </c>
      <c r="C156" s="37" t="s">
        <v>889</v>
      </c>
      <c r="D156" s="37" t="s">
        <v>890</v>
      </c>
      <c r="E156" s="37">
        <v>103458</v>
      </c>
      <c r="F156" s="37" t="s">
        <v>589</v>
      </c>
    </row>
    <row r="157" spans="1:6" x14ac:dyDescent="0.35">
      <c r="A157" s="37" t="s">
        <v>456</v>
      </c>
      <c r="B157" s="124">
        <v>3010</v>
      </c>
      <c r="C157" s="37" t="s">
        <v>891</v>
      </c>
      <c r="D157" s="37" t="s">
        <v>892</v>
      </c>
      <c r="E157" s="37">
        <v>103401</v>
      </c>
      <c r="F157" s="37" t="s">
        <v>573</v>
      </c>
    </row>
    <row r="158" spans="1:6" x14ac:dyDescent="0.35">
      <c r="A158" s="37" t="s">
        <v>524</v>
      </c>
      <c r="B158" s="124">
        <v>4625</v>
      </c>
      <c r="C158" s="37" t="s">
        <v>893</v>
      </c>
      <c r="D158" s="37" t="s">
        <v>894</v>
      </c>
      <c r="E158" s="37">
        <v>103534</v>
      </c>
      <c r="F158" s="37" t="s">
        <v>573</v>
      </c>
    </row>
    <row r="159" spans="1:6" x14ac:dyDescent="0.35">
      <c r="A159" s="37" t="s">
        <v>498</v>
      </c>
      <c r="B159" s="124">
        <v>3377</v>
      </c>
      <c r="C159" s="37" t="s">
        <v>895</v>
      </c>
      <c r="D159" s="37" t="s">
        <v>896</v>
      </c>
      <c r="E159" s="37">
        <v>103463</v>
      </c>
      <c r="F159" s="37" t="s">
        <v>578</v>
      </c>
    </row>
    <row r="160" spans="1:6" x14ac:dyDescent="0.35">
      <c r="A160" s="37" t="s">
        <v>275</v>
      </c>
      <c r="B160" s="124">
        <v>3371</v>
      </c>
      <c r="C160" s="37" t="s">
        <v>897</v>
      </c>
      <c r="D160" s="37" t="s">
        <v>898</v>
      </c>
      <c r="E160" s="37">
        <v>103459</v>
      </c>
      <c r="F160" s="37" t="s">
        <v>578</v>
      </c>
    </row>
    <row r="161" spans="1:6" x14ac:dyDescent="0.35">
      <c r="A161" s="37" t="s">
        <v>460</v>
      </c>
      <c r="B161" s="124">
        <v>3307</v>
      </c>
      <c r="C161" s="37" t="s">
        <v>899</v>
      </c>
      <c r="D161" s="37" t="s">
        <v>900</v>
      </c>
      <c r="E161" s="37">
        <v>103416</v>
      </c>
      <c r="F161" s="37" t="s">
        <v>573</v>
      </c>
    </row>
    <row r="162" spans="1:6" x14ac:dyDescent="0.35">
      <c r="A162" s="37" t="s">
        <v>488</v>
      </c>
      <c r="B162" s="124">
        <v>3361</v>
      </c>
      <c r="C162" s="37" t="s">
        <v>901</v>
      </c>
      <c r="D162" s="37" t="s">
        <v>902</v>
      </c>
      <c r="E162" s="37">
        <v>103453</v>
      </c>
      <c r="F162" s="37" t="s">
        <v>589</v>
      </c>
    </row>
    <row r="163" spans="1:6" x14ac:dyDescent="0.35">
      <c r="A163" s="37" t="s">
        <v>504</v>
      </c>
      <c r="B163" s="124">
        <v>3382</v>
      </c>
      <c r="C163" s="37" t="s">
        <v>903</v>
      </c>
      <c r="D163" s="37" t="s">
        <v>904</v>
      </c>
      <c r="E163" s="37">
        <v>103467</v>
      </c>
      <c r="F163" s="37" t="s">
        <v>573</v>
      </c>
    </row>
    <row r="164" spans="1:6" x14ac:dyDescent="0.35">
      <c r="A164" s="37" t="s">
        <v>480</v>
      </c>
      <c r="B164" s="124">
        <v>3344</v>
      </c>
      <c r="C164" s="37" t="s">
        <v>905</v>
      </c>
      <c r="D164" s="37" t="s">
        <v>906</v>
      </c>
      <c r="E164" s="37">
        <v>103438</v>
      </c>
      <c r="F164" s="37" t="s">
        <v>589</v>
      </c>
    </row>
    <row r="165" spans="1:6" x14ac:dyDescent="0.35">
      <c r="A165" s="37" t="s">
        <v>263</v>
      </c>
      <c r="B165" s="124">
        <v>3025</v>
      </c>
      <c r="C165" s="37" t="s">
        <v>907</v>
      </c>
      <c r="D165" s="37" t="s">
        <v>908</v>
      </c>
      <c r="E165" s="37">
        <v>103410</v>
      </c>
      <c r="F165" s="37" t="s">
        <v>573</v>
      </c>
    </row>
    <row r="166" spans="1:6" x14ac:dyDescent="0.35">
      <c r="A166" s="37" t="s">
        <v>458</v>
      </c>
      <c r="B166" s="124">
        <v>3016</v>
      </c>
      <c r="C166" s="37" t="s">
        <v>909</v>
      </c>
      <c r="D166" s="37" t="s">
        <v>910</v>
      </c>
      <c r="E166" s="37">
        <v>103404</v>
      </c>
      <c r="F166" s="37" t="s">
        <v>578</v>
      </c>
    </row>
    <row r="167" spans="1:6" x14ac:dyDescent="0.35">
      <c r="A167" s="37" t="s">
        <v>911</v>
      </c>
      <c r="B167" s="124">
        <v>3346</v>
      </c>
      <c r="C167" s="37" t="s">
        <v>912</v>
      </c>
      <c r="D167" s="37" t="s">
        <v>913</v>
      </c>
      <c r="E167" s="37">
        <v>103439</v>
      </c>
      <c r="F167" s="37" t="s">
        <v>573</v>
      </c>
    </row>
    <row r="168" spans="1:6" x14ac:dyDescent="0.35">
      <c r="A168" s="37" t="s">
        <v>303</v>
      </c>
      <c r="B168" s="124">
        <v>4606</v>
      </c>
      <c r="C168" s="37" t="s">
        <v>914</v>
      </c>
      <c r="D168" s="37" t="s">
        <v>915</v>
      </c>
      <c r="E168" s="37">
        <v>103531</v>
      </c>
      <c r="F168" s="37" t="s">
        <v>578</v>
      </c>
    </row>
    <row r="169" spans="1:6" x14ac:dyDescent="0.35">
      <c r="A169" s="37" t="s">
        <v>506</v>
      </c>
      <c r="B169" s="124">
        <v>3385</v>
      </c>
      <c r="C169" s="37" t="s">
        <v>916</v>
      </c>
      <c r="D169" s="37" t="s">
        <v>917</v>
      </c>
      <c r="E169" s="37">
        <v>103469</v>
      </c>
      <c r="F169" s="37" t="s">
        <v>589</v>
      </c>
    </row>
    <row r="170" spans="1:6" x14ac:dyDescent="0.35">
      <c r="A170" s="37" t="s">
        <v>512</v>
      </c>
      <c r="B170" s="124">
        <v>3428</v>
      </c>
      <c r="C170" s="37" t="s">
        <v>918</v>
      </c>
      <c r="D170" s="37" t="s">
        <v>919</v>
      </c>
      <c r="E170" s="37">
        <v>134476</v>
      </c>
      <c r="F170" s="37" t="s">
        <v>578</v>
      </c>
    </row>
    <row r="171" spans="1:6" x14ac:dyDescent="0.35">
      <c r="A171" s="37" t="s">
        <v>261</v>
      </c>
      <c r="B171" s="124">
        <v>3019</v>
      </c>
      <c r="C171" s="37" t="s">
        <v>920</v>
      </c>
      <c r="D171" s="37" t="s">
        <v>921</v>
      </c>
      <c r="E171" s="37">
        <v>103406</v>
      </c>
      <c r="F171" s="37" t="s">
        <v>589</v>
      </c>
    </row>
    <row r="172" spans="1:6" x14ac:dyDescent="0.35">
      <c r="A172" s="37" t="s">
        <v>492</v>
      </c>
      <c r="B172" s="124">
        <v>3365</v>
      </c>
      <c r="C172" s="37" t="s">
        <v>922</v>
      </c>
      <c r="D172" s="37" t="s">
        <v>923</v>
      </c>
      <c r="E172" s="37">
        <v>103456</v>
      </c>
      <c r="F172" s="37" t="s">
        <v>573</v>
      </c>
    </row>
    <row r="173" spans="1:6" x14ac:dyDescent="0.35">
      <c r="A173" s="37" t="s">
        <v>332</v>
      </c>
      <c r="B173" s="124">
        <v>1009</v>
      </c>
      <c r="C173" s="37" t="s">
        <v>924</v>
      </c>
      <c r="D173" s="37" t="s">
        <v>925</v>
      </c>
      <c r="E173" s="37">
        <v>103124</v>
      </c>
      <c r="F173" s="37" t="s">
        <v>573</v>
      </c>
    </row>
    <row r="174" spans="1:6" x14ac:dyDescent="0.35">
      <c r="A174" s="37" t="s">
        <v>462</v>
      </c>
      <c r="B174" s="124">
        <v>3310</v>
      </c>
      <c r="C174" s="37" t="s">
        <v>926</v>
      </c>
      <c r="D174" s="37" t="s">
        <v>927</v>
      </c>
      <c r="E174" s="37">
        <v>103417</v>
      </c>
      <c r="F174" s="37" t="s">
        <v>573</v>
      </c>
    </row>
    <row r="175" spans="1:6" x14ac:dyDescent="0.35">
      <c r="A175" s="37" t="s">
        <v>195</v>
      </c>
      <c r="B175" s="124">
        <v>2178</v>
      </c>
      <c r="C175" s="37" t="s">
        <v>928</v>
      </c>
      <c r="D175" s="37" t="s">
        <v>929</v>
      </c>
      <c r="E175" s="37">
        <v>103257</v>
      </c>
      <c r="F175" s="37" t="s">
        <v>589</v>
      </c>
    </row>
    <row r="176" spans="1:6" x14ac:dyDescent="0.35">
      <c r="A176" s="37" t="s">
        <v>410</v>
      </c>
      <c r="B176" s="124">
        <v>2184</v>
      </c>
      <c r="C176" s="37" t="s">
        <v>930</v>
      </c>
      <c r="D176" s="37" t="s">
        <v>931</v>
      </c>
      <c r="E176" s="37">
        <v>103262</v>
      </c>
      <c r="F176" s="37" t="s">
        <v>589</v>
      </c>
    </row>
    <row r="177" spans="1:6" x14ac:dyDescent="0.35">
      <c r="A177" s="37" t="s">
        <v>175</v>
      </c>
      <c r="B177" s="124">
        <v>2097</v>
      </c>
      <c r="C177" s="37" t="s">
        <v>932</v>
      </c>
      <c r="D177" s="37" t="s">
        <v>933</v>
      </c>
      <c r="E177" s="37">
        <v>103213</v>
      </c>
      <c r="F177" s="37" t="s">
        <v>589</v>
      </c>
    </row>
    <row r="178" spans="1:6" x14ac:dyDescent="0.35">
      <c r="A178" s="37" t="s">
        <v>382</v>
      </c>
      <c r="B178" s="124">
        <v>2067</v>
      </c>
      <c r="C178" s="37" t="s">
        <v>934</v>
      </c>
      <c r="D178" s="37" t="s">
        <v>935</v>
      </c>
      <c r="E178" s="37">
        <v>103196</v>
      </c>
      <c r="F178" s="37" t="s">
        <v>573</v>
      </c>
    </row>
    <row r="179" spans="1:6" x14ac:dyDescent="0.35">
      <c r="A179" s="37" t="s">
        <v>199</v>
      </c>
      <c r="B179" s="124">
        <v>2190</v>
      </c>
      <c r="C179" s="37" t="s">
        <v>936</v>
      </c>
      <c r="D179" s="37" t="s">
        <v>937</v>
      </c>
      <c r="E179" s="37">
        <v>103266</v>
      </c>
      <c r="F179" s="37" t="s">
        <v>589</v>
      </c>
    </row>
    <row r="180" spans="1:6" x14ac:dyDescent="0.35">
      <c r="A180" s="37" t="s">
        <v>301</v>
      </c>
      <c r="B180" s="124">
        <v>4237</v>
      </c>
      <c r="C180" s="37" t="s">
        <v>938</v>
      </c>
      <c r="D180" s="37" t="s">
        <v>939</v>
      </c>
      <c r="E180" s="37">
        <v>103514</v>
      </c>
      <c r="F180" s="37" t="s">
        <v>578</v>
      </c>
    </row>
    <row r="181" spans="1:6" x14ac:dyDescent="0.35">
      <c r="A181" s="37" t="s">
        <v>315</v>
      </c>
      <c r="B181" s="124">
        <v>7035</v>
      </c>
      <c r="C181" s="37" t="s">
        <v>940</v>
      </c>
      <c r="D181" s="37" t="s">
        <v>941</v>
      </c>
      <c r="E181" s="37">
        <v>103615</v>
      </c>
      <c r="F181" s="37" t="s">
        <v>589</v>
      </c>
    </row>
    <row r="182" spans="1:6" x14ac:dyDescent="0.35">
      <c r="A182" s="37" t="s">
        <v>213</v>
      </c>
      <c r="B182" s="124">
        <v>2246</v>
      </c>
      <c r="C182" s="37" t="s">
        <v>942</v>
      </c>
      <c r="D182" s="37" t="s">
        <v>943</v>
      </c>
      <c r="E182" s="37">
        <v>103296</v>
      </c>
      <c r="F182" s="37" t="s">
        <v>573</v>
      </c>
    </row>
    <row r="183" spans="1:6" x14ac:dyDescent="0.35">
      <c r="A183" s="37" t="s">
        <v>470</v>
      </c>
      <c r="B183" s="124">
        <v>3323</v>
      </c>
      <c r="C183" s="37" t="s">
        <v>944</v>
      </c>
      <c r="D183" s="37" t="s">
        <v>945</v>
      </c>
      <c r="E183" s="37">
        <v>103427</v>
      </c>
      <c r="F183" s="37" t="s">
        <v>578</v>
      </c>
    </row>
    <row r="184" spans="1:6" x14ac:dyDescent="0.35">
      <c r="A184" s="37" t="s">
        <v>544</v>
      </c>
      <c r="B184" s="124">
        <v>7045</v>
      </c>
      <c r="C184" s="37" t="s">
        <v>946</v>
      </c>
      <c r="D184" s="37" t="s">
        <v>947</v>
      </c>
      <c r="E184" s="37">
        <v>103622</v>
      </c>
      <c r="F184" s="37" t="s">
        <v>589</v>
      </c>
    </row>
    <row r="185" spans="1:6" x14ac:dyDescent="0.35">
      <c r="A185" s="37" t="s">
        <v>201</v>
      </c>
      <c r="B185" s="124">
        <v>2192</v>
      </c>
      <c r="C185" s="37" t="s">
        <v>948</v>
      </c>
      <c r="D185" s="37" t="s">
        <v>949</v>
      </c>
      <c r="E185" s="37">
        <v>103268</v>
      </c>
      <c r="F185" s="37" t="s">
        <v>573</v>
      </c>
    </row>
    <row r="186" spans="1:6" x14ac:dyDescent="0.35">
      <c r="A186" s="37" t="s">
        <v>534</v>
      </c>
      <c r="B186" s="124">
        <v>7014</v>
      </c>
      <c r="C186" s="37" t="s">
        <v>950</v>
      </c>
      <c r="D186" s="37" t="s">
        <v>951</v>
      </c>
      <c r="E186" s="37">
        <v>103605</v>
      </c>
      <c r="F186" s="37" t="s">
        <v>578</v>
      </c>
    </row>
    <row r="187" spans="1:6" x14ac:dyDescent="0.35">
      <c r="A187" s="37" t="s">
        <v>313</v>
      </c>
      <c r="B187" s="124">
        <v>7009</v>
      </c>
      <c r="C187" s="37" t="s">
        <v>952</v>
      </c>
      <c r="D187" s="37" t="s">
        <v>953</v>
      </c>
      <c r="E187" s="37">
        <v>103601</v>
      </c>
      <c r="F187" s="37" t="s">
        <v>578</v>
      </c>
    </row>
    <row r="188" spans="1:6" x14ac:dyDescent="0.35">
      <c r="A188" s="37" t="s">
        <v>307</v>
      </c>
      <c r="B188" s="124">
        <v>5203</v>
      </c>
      <c r="C188" s="37" t="s">
        <v>954</v>
      </c>
      <c r="D188" s="37" t="s">
        <v>955</v>
      </c>
      <c r="E188" s="37">
        <v>103544</v>
      </c>
      <c r="F188" s="37" t="s">
        <v>578</v>
      </c>
    </row>
    <row r="189" spans="1:6" x14ac:dyDescent="0.35">
      <c r="A189" s="37" t="s">
        <v>305</v>
      </c>
      <c r="B189" s="124">
        <v>5202</v>
      </c>
      <c r="C189" s="37" t="s">
        <v>956</v>
      </c>
      <c r="D189" s="37" t="s">
        <v>957</v>
      </c>
      <c r="E189" s="37">
        <v>103543</v>
      </c>
      <c r="F189" s="37" t="s">
        <v>578</v>
      </c>
    </row>
    <row r="190" spans="1:6" x14ac:dyDescent="0.35">
      <c r="A190" s="37" t="s">
        <v>392</v>
      </c>
      <c r="B190" s="124">
        <v>2108</v>
      </c>
      <c r="C190" s="37" t="s">
        <v>958</v>
      </c>
      <c r="D190" s="37" t="s">
        <v>959</v>
      </c>
      <c r="E190" s="37">
        <v>103217</v>
      </c>
      <c r="F190" s="37" t="s">
        <v>573</v>
      </c>
    </row>
    <row r="191" spans="1:6" x14ac:dyDescent="0.35">
      <c r="A191" s="37" t="s">
        <v>344</v>
      </c>
      <c r="B191" s="124">
        <v>1019</v>
      </c>
      <c r="C191" s="37" t="s">
        <v>960</v>
      </c>
      <c r="D191" s="37" t="s">
        <v>961</v>
      </c>
      <c r="E191" s="37">
        <v>103132</v>
      </c>
      <c r="F191" s="37" t="s">
        <v>589</v>
      </c>
    </row>
    <row r="192" spans="1:6" x14ac:dyDescent="0.35">
      <c r="A192" s="37" t="s">
        <v>227</v>
      </c>
      <c r="B192" s="124">
        <v>2306</v>
      </c>
      <c r="C192" s="37" t="s">
        <v>962</v>
      </c>
      <c r="D192" s="37" t="s">
        <v>963</v>
      </c>
      <c r="E192" s="37">
        <v>103326</v>
      </c>
      <c r="F192" s="37" t="s">
        <v>589</v>
      </c>
    </row>
    <row r="193" spans="1:6" x14ac:dyDescent="0.35">
      <c r="A193" s="37" t="s">
        <v>450</v>
      </c>
      <c r="B193" s="124">
        <v>2482</v>
      </c>
      <c r="C193" s="37" t="s">
        <v>964</v>
      </c>
      <c r="D193" s="37" t="s">
        <v>965</v>
      </c>
      <c r="E193" s="37">
        <v>132201</v>
      </c>
      <c r="F193" s="37" t="s">
        <v>589</v>
      </c>
    </row>
    <row r="194" spans="1:6" x14ac:dyDescent="0.35">
      <c r="A194" s="37" t="s">
        <v>229</v>
      </c>
      <c r="B194" s="124">
        <v>2308</v>
      </c>
      <c r="C194" s="37" t="s">
        <v>966</v>
      </c>
      <c r="D194" s="37" t="s">
        <v>967</v>
      </c>
      <c r="E194" s="37">
        <v>103328</v>
      </c>
      <c r="F194" s="37" t="s">
        <v>578</v>
      </c>
    </row>
    <row r="195" spans="1:6" x14ac:dyDescent="0.35">
      <c r="A195" s="37" t="s">
        <v>211</v>
      </c>
      <c r="B195" s="124">
        <v>2245</v>
      </c>
      <c r="C195" s="37" t="s">
        <v>968</v>
      </c>
      <c r="D195" s="37" t="s">
        <v>969</v>
      </c>
      <c r="E195" s="37">
        <v>103295</v>
      </c>
      <c r="F195" s="37" t="s">
        <v>589</v>
      </c>
    </row>
    <row r="196" spans="1:6" x14ac:dyDescent="0.35">
      <c r="A196" s="37" t="s">
        <v>346</v>
      </c>
      <c r="B196" s="124">
        <v>1020</v>
      </c>
      <c r="C196" s="37" t="s">
        <v>970</v>
      </c>
      <c r="D196" s="37" t="s">
        <v>971</v>
      </c>
      <c r="E196" s="37">
        <v>103133</v>
      </c>
      <c r="F196" s="37" t="s">
        <v>573</v>
      </c>
    </row>
    <row r="197" spans="1:6" x14ac:dyDescent="0.35">
      <c r="A197" s="37" t="s">
        <v>336</v>
      </c>
      <c r="B197" s="124">
        <v>1014</v>
      </c>
      <c r="C197" s="37" t="s">
        <v>972</v>
      </c>
      <c r="D197" s="37" t="s">
        <v>973</v>
      </c>
      <c r="E197" s="37">
        <v>103127</v>
      </c>
      <c r="F197" s="37" t="s">
        <v>573</v>
      </c>
    </row>
    <row r="198" spans="1:6" x14ac:dyDescent="0.35">
      <c r="A198" s="37" t="s">
        <v>161</v>
      </c>
      <c r="B198" s="124">
        <v>2019</v>
      </c>
      <c r="C198" s="37" t="s">
        <v>974</v>
      </c>
      <c r="D198" s="37" t="s">
        <v>975</v>
      </c>
      <c r="E198" s="37">
        <v>134279</v>
      </c>
      <c r="F198" s="37" t="s">
        <v>573</v>
      </c>
    </row>
    <row r="199" spans="1:6" x14ac:dyDescent="0.35">
      <c r="A199" s="37" t="s">
        <v>366</v>
      </c>
      <c r="B199" s="124">
        <v>2011</v>
      </c>
      <c r="C199" s="37" t="s">
        <v>976</v>
      </c>
      <c r="D199" s="37" t="s">
        <v>977</v>
      </c>
      <c r="E199" s="37">
        <v>134099</v>
      </c>
      <c r="F199" s="37" t="s">
        <v>578</v>
      </c>
    </row>
    <row r="200" spans="1:6" x14ac:dyDescent="0.35">
      <c r="A200" s="37" t="s">
        <v>518</v>
      </c>
      <c r="B200" s="124">
        <v>4193</v>
      </c>
      <c r="C200" s="37" t="s">
        <v>978</v>
      </c>
      <c r="D200" s="37" t="s">
        <v>979</v>
      </c>
      <c r="E200" s="37">
        <v>103501</v>
      </c>
      <c r="F200" s="37" t="s">
        <v>578</v>
      </c>
    </row>
    <row r="201" spans="1:6" x14ac:dyDescent="0.35">
      <c r="A201" s="37" t="s">
        <v>446</v>
      </c>
      <c r="B201" s="124">
        <v>2478</v>
      </c>
      <c r="C201" s="37" t="s">
        <v>980</v>
      </c>
      <c r="D201" s="37" t="s">
        <v>981</v>
      </c>
      <c r="E201" s="37">
        <v>132007</v>
      </c>
      <c r="F201" s="37" t="s">
        <v>578</v>
      </c>
    </row>
    <row r="202" spans="1:6" x14ac:dyDescent="0.35">
      <c r="A202" s="37" t="s">
        <v>426</v>
      </c>
      <c r="B202" s="124">
        <v>2293</v>
      </c>
      <c r="C202" s="37" t="s">
        <v>982</v>
      </c>
      <c r="D202" s="37" t="s">
        <v>983</v>
      </c>
      <c r="E202" s="37">
        <v>103317</v>
      </c>
      <c r="F202" s="37" t="s">
        <v>578</v>
      </c>
    </row>
    <row r="203" spans="1:6" x14ac:dyDescent="0.35">
      <c r="A203" s="37" t="s">
        <v>245</v>
      </c>
      <c r="B203" s="124">
        <v>2445</v>
      </c>
      <c r="C203" s="37" t="s">
        <v>984</v>
      </c>
      <c r="D203" s="37" t="s">
        <v>985</v>
      </c>
      <c r="E203" s="37">
        <v>103372</v>
      </c>
      <c r="F203" s="37" t="s">
        <v>589</v>
      </c>
    </row>
    <row r="204" spans="1:6" x14ac:dyDescent="0.35">
      <c r="A204" s="37" t="s">
        <v>422</v>
      </c>
      <c r="B204" s="124">
        <v>2278</v>
      </c>
      <c r="C204" s="37" t="s">
        <v>986</v>
      </c>
      <c r="D204" s="37" t="s">
        <v>987</v>
      </c>
      <c r="E204" s="37">
        <v>103310</v>
      </c>
      <c r="F204" s="37" t="s">
        <v>589</v>
      </c>
    </row>
    <row r="205" spans="1:6" x14ac:dyDescent="0.35">
      <c r="A205" s="37" t="s">
        <v>233</v>
      </c>
      <c r="B205" s="124">
        <v>2314</v>
      </c>
      <c r="C205" s="37" t="s">
        <v>988</v>
      </c>
      <c r="D205" s="37" t="s">
        <v>989</v>
      </c>
      <c r="E205" s="37">
        <v>103334</v>
      </c>
      <c r="F205" s="37" t="s">
        <v>573</v>
      </c>
    </row>
    <row r="206" spans="1:6" x14ac:dyDescent="0.35">
      <c r="A206" s="37" t="s">
        <v>428</v>
      </c>
      <c r="B206" s="124">
        <v>2317</v>
      </c>
      <c r="C206" s="37" t="s">
        <v>990</v>
      </c>
      <c r="D206" s="37" t="s">
        <v>991</v>
      </c>
      <c r="E206" s="37">
        <v>103337</v>
      </c>
      <c r="F206" s="37" t="s">
        <v>589</v>
      </c>
    </row>
    <row r="207" spans="1:6" x14ac:dyDescent="0.35">
      <c r="A207" s="37" t="s">
        <v>203</v>
      </c>
      <c r="B207" s="124">
        <v>2225</v>
      </c>
      <c r="C207" s="37" t="s">
        <v>992</v>
      </c>
      <c r="D207" s="37" t="s">
        <v>993</v>
      </c>
      <c r="E207" s="37">
        <v>103279</v>
      </c>
      <c r="F207" s="37" t="s">
        <v>578</v>
      </c>
    </row>
    <row r="208" spans="1:6" x14ac:dyDescent="0.35">
      <c r="A208" s="37" t="s">
        <v>432</v>
      </c>
      <c r="B208" s="124">
        <v>2412</v>
      </c>
      <c r="C208" s="37" t="s">
        <v>994</v>
      </c>
      <c r="D208" s="37" t="s">
        <v>995</v>
      </c>
      <c r="E208" s="37">
        <v>103349</v>
      </c>
      <c r="F208" s="37" t="s">
        <v>578</v>
      </c>
    </row>
    <row r="209" spans="1:6" x14ac:dyDescent="0.35">
      <c r="A209" s="37" t="s">
        <v>283</v>
      </c>
      <c r="B209" s="124">
        <v>3421</v>
      </c>
      <c r="C209" s="37" t="s">
        <v>996</v>
      </c>
      <c r="D209" s="37" t="s">
        <v>997</v>
      </c>
      <c r="E209" s="37">
        <v>133996</v>
      </c>
      <c r="F209" s="37" t="s">
        <v>589</v>
      </c>
    </row>
    <row r="210" spans="1:6" x14ac:dyDescent="0.35">
      <c r="A210" s="37" t="s">
        <v>416</v>
      </c>
      <c r="B210" s="124">
        <v>2227</v>
      </c>
      <c r="C210" s="37" t="s">
        <v>998</v>
      </c>
      <c r="D210" s="37" t="s">
        <v>999</v>
      </c>
      <c r="E210" s="37">
        <v>103281</v>
      </c>
      <c r="F210" s="37" t="s">
        <v>573</v>
      </c>
    </row>
    <row r="211" spans="1:6" x14ac:dyDescent="0.35">
      <c r="A211" s="37" t="s">
        <v>205</v>
      </c>
      <c r="B211" s="124">
        <v>2231</v>
      </c>
      <c r="C211" s="37" t="s">
        <v>1000</v>
      </c>
      <c r="D211" s="37" t="s">
        <v>1001</v>
      </c>
      <c r="E211" s="37">
        <v>103284</v>
      </c>
      <c r="F211" s="37" t="s">
        <v>573</v>
      </c>
    </row>
  </sheetData>
  <autoFilter ref="B2:Q211" xr:uid="{0750CFC7-2873-4814-80E4-8A7B7B468BAA}">
    <sortState xmlns:xlrd2="http://schemas.microsoft.com/office/spreadsheetml/2017/richdata2" ref="B3:Q211">
      <sortCondition ref="G2:G211"/>
    </sortState>
  </autoFilter>
  <conditionalFormatting sqref="B2:F20">
    <cfRule type="cellIs" dxfId="16" priority="1" operator="lessThan">
      <formula>0</formula>
    </cfRule>
  </conditionalFormatting>
  <pageMargins left="0.7" right="0.7" top="0.75" bottom="0.75" header="0.3" footer="0.3"/>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0D04-0A6A-40A0-AD52-C8A4B5B8CBA0}">
  <sheetPr>
    <tabColor rgb="FFFF0000"/>
  </sheetPr>
  <dimension ref="A1:X34"/>
  <sheetViews>
    <sheetView topLeftCell="A8" workbookViewId="0">
      <selection activeCell="A34" sqref="A34"/>
    </sheetView>
  </sheetViews>
  <sheetFormatPr defaultColWidth="8.7265625" defaultRowHeight="13" x14ac:dyDescent="0.25"/>
  <cols>
    <col min="1" max="1" width="61.453125" style="399" bestFit="1" customWidth="1"/>
    <col min="2" max="2" width="82.1796875" style="10" customWidth="1"/>
    <col min="15" max="15" width="1.453125" bestFit="1" customWidth="1"/>
  </cols>
  <sheetData>
    <row r="1" spans="1:2" ht="36" x14ac:dyDescent="0.25">
      <c r="A1" s="393" t="s">
        <v>1002</v>
      </c>
      <c r="B1" s="394"/>
    </row>
    <row r="2" spans="1:2" x14ac:dyDescent="0.25">
      <c r="A2" s="395"/>
      <c r="B2" s="394"/>
    </row>
    <row r="3" spans="1:2" ht="39" customHeight="1" x14ac:dyDescent="0.25">
      <c r="A3" s="425" t="s">
        <v>1003</v>
      </c>
      <c r="B3" s="425"/>
    </row>
    <row r="4" spans="1:2" ht="39" customHeight="1" x14ac:dyDescent="0.25">
      <c r="A4" s="426" t="s">
        <v>1004</v>
      </c>
      <c r="B4" s="426"/>
    </row>
    <row r="5" spans="1:2" ht="39" customHeight="1" x14ac:dyDescent="0.25">
      <c r="A5" s="427" t="s">
        <v>1005</v>
      </c>
      <c r="B5" s="427"/>
    </row>
    <row r="6" spans="1:2" x14ac:dyDescent="0.25">
      <c r="A6" s="395"/>
      <c r="B6" s="394"/>
    </row>
    <row r="7" spans="1:2" x14ac:dyDescent="0.25">
      <c r="A7" s="395" t="s">
        <v>1006</v>
      </c>
      <c r="B7" s="394"/>
    </row>
    <row r="8" spans="1:2" x14ac:dyDescent="0.25">
      <c r="A8" s="395" t="s">
        <v>1007</v>
      </c>
      <c r="B8" s="394" t="s">
        <v>1008</v>
      </c>
    </row>
    <row r="9" spans="1:2" ht="50" x14ac:dyDescent="0.25">
      <c r="A9" s="398" t="s">
        <v>1009</v>
      </c>
      <c r="B9" s="394" t="s">
        <v>1010</v>
      </c>
    </row>
    <row r="10" spans="1:2" x14ac:dyDescent="0.25">
      <c r="A10" s="398" t="s">
        <v>1011</v>
      </c>
      <c r="B10" s="394" t="s">
        <v>1012</v>
      </c>
    </row>
    <row r="11" spans="1:2" x14ac:dyDescent="0.25">
      <c r="A11" s="398" t="s">
        <v>1013</v>
      </c>
      <c r="B11" s="394" t="s">
        <v>1014</v>
      </c>
    </row>
    <row r="12" spans="1:2" ht="25" x14ac:dyDescent="0.25">
      <c r="A12" s="398" t="s">
        <v>1015</v>
      </c>
      <c r="B12" s="394" t="s">
        <v>1016</v>
      </c>
    </row>
    <row r="13" spans="1:2" x14ac:dyDescent="0.25">
      <c r="A13" s="398" t="s">
        <v>1017</v>
      </c>
      <c r="B13" s="394" t="s">
        <v>1018</v>
      </c>
    </row>
    <row r="14" spans="1:2" ht="25" x14ac:dyDescent="0.25">
      <c r="A14" s="395"/>
      <c r="B14" s="28" t="s">
        <v>1019</v>
      </c>
    </row>
    <row r="15" spans="1:2" ht="25" x14ac:dyDescent="0.25">
      <c r="A15" s="395" t="s">
        <v>1020</v>
      </c>
      <c r="B15" s="394" t="s">
        <v>1021</v>
      </c>
    </row>
    <row r="16" spans="1:2" x14ac:dyDescent="0.25">
      <c r="A16" s="395" t="s">
        <v>1022</v>
      </c>
      <c r="B16" s="394" t="s">
        <v>1023</v>
      </c>
    </row>
    <row r="17" spans="1:2" ht="50" x14ac:dyDescent="0.25">
      <c r="A17" s="395" t="s">
        <v>1024</v>
      </c>
      <c r="B17" s="394" t="s">
        <v>1025</v>
      </c>
    </row>
    <row r="18" spans="1:2" x14ac:dyDescent="0.25">
      <c r="A18" s="395" t="s">
        <v>1026</v>
      </c>
      <c r="B18" s="394" t="s">
        <v>1027</v>
      </c>
    </row>
    <row r="19" spans="1:2" x14ac:dyDescent="0.25">
      <c r="A19" s="395" t="s">
        <v>1028</v>
      </c>
      <c r="B19" s="394"/>
    </row>
    <row r="20" spans="1:2" x14ac:dyDescent="0.25">
      <c r="A20" s="395" t="s">
        <v>1029</v>
      </c>
      <c r="B20" s="394" t="s">
        <v>1030</v>
      </c>
    </row>
    <row r="21" spans="1:2" ht="37.5" x14ac:dyDescent="0.25">
      <c r="A21" s="395" t="s">
        <v>1031</v>
      </c>
      <c r="B21" s="394" t="s">
        <v>1032</v>
      </c>
    </row>
    <row r="22" spans="1:2" ht="37.5" x14ac:dyDescent="0.25">
      <c r="A22" s="395" t="s">
        <v>1033</v>
      </c>
      <c r="B22" s="394" t="s">
        <v>1034</v>
      </c>
    </row>
    <row r="23" spans="1:2" ht="25" x14ac:dyDescent="0.25">
      <c r="A23" s="395" t="s">
        <v>1035</v>
      </c>
      <c r="B23" s="394" t="s">
        <v>1036</v>
      </c>
    </row>
    <row r="24" spans="1:2" x14ac:dyDescent="0.25">
      <c r="A24" s="395" t="s">
        <v>1037</v>
      </c>
      <c r="B24" s="394" t="s">
        <v>1038</v>
      </c>
    </row>
    <row r="25" spans="1:2" ht="25" x14ac:dyDescent="0.25">
      <c r="A25" s="395" t="s">
        <v>1039</v>
      </c>
      <c r="B25" s="394" t="s">
        <v>1040</v>
      </c>
    </row>
    <row r="26" spans="1:2" x14ac:dyDescent="0.25">
      <c r="A26" s="395" t="s">
        <v>1041</v>
      </c>
      <c r="B26" s="394" t="s">
        <v>1042</v>
      </c>
    </row>
    <row r="27" spans="1:2" ht="25" x14ac:dyDescent="0.25">
      <c r="A27" s="395" t="s">
        <v>1043</v>
      </c>
      <c r="B27" s="394" t="s">
        <v>1044</v>
      </c>
    </row>
    <row r="28" spans="1:2" ht="37.5" x14ac:dyDescent="0.25">
      <c r="A28" s="395" t="s">
        <v>1045</v>
      </c>
      <c r="B28" s="394" t="s">
        <v>1046</v>
      </c>
    </row>
    <row r="29" spans="1:2" ht="37.5" x14ac:dyDescent="0.25">
      <c r="A29" s="395" t="s">
        <v>1047</v>
      </c>
      <c r="B29" s="394" t="s">
        <v>1048</v>
      </c>
    </row>
    <row r="30" spans="1:2" x14ac:dyDescent="0.25">
      <c r="A30" s="395" t="s">
        <v>1049</v>
      </c>
      <c r="B30" s="394" t="s">
        <v>1050</v>
      </c>
    </row>
    <row r="31" spans="1:2" ht="25" x14ac:dyDescent="0.25">
      <c r="A31" s="395" t="s">
        <v>1051</v>
      </c>
      <c r="B31" s="394" t="s">
        <v>1052</v>
      </c>
    </row>
    <row r="32" spans="1:2" ht="65" x14ac:dyDescent="0.25">
      <c r="A32" s="400" t="s">
        <v>1053</v>
      </c>
      <c r="B32" s="401"/>
    </row>
    <row r="33" spans="1:24" ht="39" x14ac:dyDescent="0.25">
      <c r="A33" s="402" t="s">
        <v>1054</v>
      </c>
      <c r="B33" s="401"/>
      <c r="C33" s="392"/>
      <c r="D33" s="392"/>
      <c r="E33" s="392"/>
      <c r="F33" s="392"/>
      <c r="G33" s="392"/>
      <c r="H33" s="392"/>
      <c r="I33" s="392"/>
      <c r="J33" s="392"/>
      <c r="K33" s="392"/>
      <c r="L33" s="392"/>
      <c r="M33" s="392"/>
      <c r="N33" s="392"/>
      <c r="O33" s="392"/>
      <c r="P33" s="392"/>
      <c r="Q33" s="392"/>
      <c r="R33" s="392"/>
      <c r="S33" s="392"/>
      <c r="T33" s="392"/>
      <c r="U33" s="392"/>
      <c r="V33" s="392"/>
      <c r="W33" s="392"/>
      <c r="X33" s="392"/>
    </row>
    <row r="34" spans="1:24" ht="78" x14ac:dyDescent="0.25">
      <c r="A34" s="403" t="s">
        <v>1055</v>
      </c>
      <c r="B34" s="404"/>
      <c r="C34" s="392"/>
      <c r="D34" s="392"/>
      <c r="E34" s="392"/>
      <c r="F34" s="392"/>
      <c r="G34" s="392"/>
      <c r="H34" s="392"/>
      <c r="I34" s="392"/>
      <c r="J34" s="392"/>
      <c r="K34" s="392"/>
      <c r="L34" s="392"/>
      <c r="M34" s="392"/>
      <c r="N34" s="392"/>
      <c r="O34" s="392" t="s">
        <v>1056</v>
      </c>
      <c r="P34" s="392" t="s">
        <v>1056</v>
      </c>
      <c r="Q34" s="392" t="s">
        <v>1056</v>
      </c>
      <c r="R34" s="392" t="s">
        <v>1056</v>
      </c>
      <c r="S34" s="392" t="s">
        <v>1056</v>
      </c>
      <c r="T34" s="392" t="s">
        <v>1056</v>
      </c>
      <c r="U34" s="392" t="s">
        <v>1056</v>
      </c>
      <c r="V34" s="392" t="s">
        <v>1056</v>
      </c>
      <c r="W34" s="392" t="s">
        <v>1056</v>
      </c>
      <c r="X34" s="392" t="s">
        <v>1056</v>
      </c>
    </row>
  </sheetData>
  <mergeCells count="3">
    <mergeCell ref="A3:B3"/>
    <mergeCell ref="A4:B4"/>
    <mergeCell ref="A5: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5212A-52B5-43BC-BF71-284158CBC190}">
  <dimension ref="A1:C13"/>
  <sheetViews>
    <sheetView workbookViewId="0">
      <selection activeCell="C18" sqref="C18"/>
    </sheetView>
  </sheetViews>
  <sheetFormatPr defaultRowHeight="12.5" x14ac:dyDescent="0.25"/>
  <cols>
    <col min="1" max="1" width="11.26953125" bestFit="1" customWidth="1"/>
    <col min="2" max="2" width="27" bestFit="1" customWidth="1"/>
  </cols>
  <sheetData>
    <row r="1" spans="1:3" ht="13" x14ac:dyDescent="0.25">
      <c r="A1" s="20" t="s">
        <v>1480</v>
      </c>
    </row>
    <row r="3" spans="1:3" x14ac:dyDescent="0.25">
      <c r="A3" t="s">
        <v>1057</v>
      </c>
      <c r="B3" t="s">
        <v>1058</v>
      </c>
    </row>
    <row r="4" spans="1:3" x14ac:dyDescent="0.25">
      <c r="A4" t="s">
        <v>1059</v>
      </c>
      <c r="B4" t="s">
        <v>1060</v>
      </c>
    </row>
    <row r="5" spans="1:3" x14ac:dyDescent="0.25">
      <c r="A5" t="s">
        <v>1061</v>
      </c>
      <c r="B5" t="s">
        <v>1062</v>
      </c>
    </row>
    <row r="6" spans="1:3" x14ac:dyDescent="0.25">
      <c r="A6" t="s">
        <v>1063</v>
      </c>
      <c r="B6" t="s">
        <v>1064</v>
      </c>
    </row>
    <row r="7" spans="1:3" x14ac:dyDescent="0.25">
      <c r="A7" t="s">
        <v>1065</v>
      </c>
      <c r="B7" t="s">
        <v>1066</v>
      </c>
    </row>
    <row r="8" spans="1:3" x14ac:dyDescent="0.25">
      <c r="A8" t="s">
        <v>1067</v>
      </c>
      <c r="B8" t="s">
        <v>1068</v>
      </c>
    </row>
    <row r="9" spans="1:3" x14ac:dyDescent="0.25">
      <c r="A9" t="s">
        <v>1069</v>
      </c>
      <c r="B9" t="s">
        <v>1070</v>
      </c>
    </row>
    <row r="10" spans="1:3" x14ac:dyDescent="0.25">
      <c r="A10" t="s">
        <v>1071</v>
      </c>
      <c r="B10" t="s">
        <v>1072</v>
      </c>
    </row>
    <row r="11" spans="1:3" x14ac:dyDescent="0.25">
      <c r="A11" t="s">
        <v>1073</v>
      </c>
      <c r="B11" t="s">
        <v>1074</v>
      </c>
    </row>
    <row r="12" spans="1:3" x14ac:dyDescent="0.25">
      <c r="A12" t="s">
        <v>1075</v>
      </c>
      <c r="B12" t="s">
        <v>1076</v>
      </c>
    </row>
    <row r="13" spans="1:3" x14ac:dyDescent="0.25">
      <c r="A13" t="s">
        <v>1077</v>
      </c>
      <c r="B13" t="s">
        <v>1078</v>
      </c>
      <c r="C13" s="405" t="s">
        <v>1079</v>
      </c>
    </row>
  </sheetData>
  <sortState xmlns:xlrd2="http://schemas.microsoft.com/office/spreadsheetml/2017/richdata2" ref="A3:XFD13">
    <sortCondition ref="A3:A13"/>
  </sortState>
  <hyperlinks>
    <hyperlink ref="C13" r:id="rId1" xr:uid="{059B5393-F440-4E5F-9B9C-1A7F65A9B3A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2883-F51D-47CF-9B92-17355D56D7CF}">
  <sheetPr codeName="Sheet3">
    <tabColor rgb="FF00B0F0"/>
  </sheetPr>
  <dimension ref="B3:K92"/>
  <sheetViews>
    <sheetView topLeftCell="F3" zoomScale="80" zoomScaleNormal="80" workbookViewId="0">
      <selection activeCell="F3" sqref="F3"/>
    </sheetView>
  </sheetViews>
  <sheetFormatPr defaultColWidth="9.1796875" defaultRowHeight="12.5" x14ac:dyDescent="0.25"/>
  <cols>
    <col min="1" max="1" width="2.453125" style="24" customWidth="1"/>
    <col min="2" max="2" width="48.1796875" style="24" customWidth="1"/>
    <col min="3" max="9" width="22.26953125" style="24" customWidth="1"/>
    <col min="10" max="10" width="9.1796875" style="24"/>
    <col min="11" max="11" width="11.1796875" style="24" bestFit="1" customWidth="1"/>
    <col min="12" max="16384" width="9.1796875" style="24"/>
  </cols>
  <sheetData>
    <row r="3" spans="2:9" ht="25" x14ac:dyDescent="0.5">
      <c r="B3" s="154" t="s">
        <v>1080</v>
      </c>
      <c r="C3" s="42"/>
      <c r="D3" s="42"/>
      <c r="E3" s="43"/>
      <c r="F3" s="43"/>
      <c r="G3" s="43"/>
      <c r="H3" s="43"/>
      <c r="I3" s="44"/>
    </row>
    <row r="4" spans="2:9" ht="13" x14ac:dyDescent="0.3">
      <c r="B4" s="41"/>
      <c r="C4" s="42"/>
      <c r="D4" s="42"/>
      <c r="E4" s="43"/>
      <c r="F4" s="43"/>
      <c r="G4" s="43"/>
      <c r="H4" s="43"/>
      <c r="I4" s="44"/>
    </row>
    <row r="5" spans="2:9" ht="13" x14ac:dyDescent="0.3">
      <c r="B5" s="41" t="s">
        <v>1081</v>
      </c>
      <c r="C5" s="428" t="s">
        <v>565</v>
      </c>
      <c r="D5" s="428"/>
      <c r="E5" s="43"/>
      <c r="F5" s="43"/>
      <c r="G5" s="43"/>
      <c r="H5" s="43"/>
      <c r="I5" s="44"/>
    </row>
    <row r="6" spans="2:9" ht="13" x14ac:dyDescent="0.3">
      <c r="B6" s="41" t="s">
        <v>1082</v>
      </c>
      <c r="C6" s="428" t="str">
        <f>VLOOKUP(C5,Lookup!A:B,2,FALSE)</f>
        <v>-</v>
      </c>
      <c r="D6" s="428"/>
      <c r="E6" s="43"/>
      <c r="F6" s="43"/>
      <c r="G6" s="43"/>
      <c r="H6" s="43"/>
      <c r="I6" s="44"/>
    </row>
    <row r="7" spans="2:9" ht="13" x14ac:dyDescent="0.3">
      <c r="B7" s="41"/>
      <c r="C7" s="42"/>
      <c r="D7" s="42"/>
      <c r="E7" s="43"/>
      <c r="F7" s="43"/>
      <c r="G7" s="43"/>
      <c r="H7" s="43"/>
      <c r="I7" s="44"/>
    </row>
    <row r="8" spans="2:9" ht="13" x14ac:dyDescent="0.3">
      <c r="B8" s="41"/>
      <c r="C8" s="42"/>
      <c r="D8" s="42"/>
      <c r="E8" s="43"/>
      <c r="F8" s="43"/>
      <c r="G8" s="43"/>
      <c r="H8" s="43"/>
      <c r="I8" s="44"/>
    </row>
    <row r="9" spans="2:9" ht="13.5" thickBot="1" x14ac:dyDescent="0.35">
      <c r="B9" s="45"/>
      <c r="C9" s="46"/>
      <c r="D9" s="46"/>
      <c r="E9" s="47"/>
      <c r="F9" s="47"/>
      <c r="G9" s="47"/>
      <c r="H9" s="47"/>
      <c r="I9" s="48"/>
    </row>
    <row r="10" spans="2:9" ht="13" thickBot="1" x14ac:dyDescent="0.3"/>
    <row r="11" spans="2:9" ht="21.75" customHeight="1" x14ac:dyDescent="0.3">
      <c r="B11" s="442" t="s">
        <v>1009</v>
      </c>
      <c r="C11" s="137" t="s">
        <v>1083</v>
      </c>
      <c r="D11" s="431" t="s">
        <v>1084</v>
      </c>
      <c r="E11" s="431"/>
      <c r="F11" s="431"/>
      <c r="G11" s="431"/>
      <c r="H11" s="431"/>
      <c r="I11" s="432"/>
    </row>
    <row r="12" spans="2:9" ht="21.75" customHeight="1" x14ac:dyDescent="0.25">
      <c r="B12" s="443"/>
      <c r="C12" s="140" t="s">
        <v>1085</v>
      </c>
      <c r="D12" s="140" t="s">
        <v>1086</v>
      </c>
      <c r="E12" s="140" t="s">
        <v>1087</v>
      </c>
      <c r="F12" s="140" t="s">
        <v>1088</v>
      </c>
      <c r="G12" s="140" t="s">
        <v>1089</v>
      </c>
      <c r="H12" s="140" t="s">
        <v>1090</v>
      </c>
      <c r="I12" s="141" t="s">
        <v>1091</v>
      </c>
    </row>
    <row r="13" spans="2:9" ht="21.75" customHeight="1" x14ac:dyDescent="0.25">
      <c r="B13" s="138" t="s">
        <v>1092</v>
      </c>
      <c r="C13" s="155">
        <f>'Budget Plan'!C13</f>
        <v>0</v>
      </c>
      <c r="D13" s="155">
        <f>C17</f>
        <v>0</v>
      </c>
      <c r="E13" s="155">
        <f t="shared" ref="E13:I13" si="0">D17</f>
        <v>0</v>
      </c>
      <c r="F13" s="155">
        <f t="shared" si="0"/>
        <v>0</v>
      </c>
      <c r="G13" s="155">
        <f t="shared" si="0"/>
        <v>0</v>
      </c>
      <c r="H13" s="155">
        <f t="shared" si="0"/>
        <v>0</v>
      </c>
      <c r="I13" s="156">
        <f t="shared" si="0"/>
        <v>0</v>
      </c>
    </row>
    <row r="14" spans="2:9" ht="20.25" customHeight="1" x14ac:dyDescent="0.25">
      <c r="B14" s="138" t="s">
        <v>1093</v>
      </c>
      <c r="C14" s="155">
        <f>'Budget Plan'!C37+'Budget Plan'!C84</f>
        <v>0</v>
      </c>
      <c r="D14" s="155">
        <f>'Budget Plan'!E37+'Budget Plan'!E84</f>
        <v>0</v>
      </c>
      <c r="E14" s="155">
        <f>'Budget Plan'!G37+'Budget Plan'!G84</f>
        <v>0</v>
      </c>
      <c r="F14" s="155">
        <f>'Budget Plan'!H37+'Budget Plan'!H84</f>
        <v>0</v>
      </c>
      <c r="G14" s="155">
        <f>'Budget Plan'!I37+'Budget Plan'!I84</f>
        <v>0</v>
      </c>
      <c r="H14" s="155">
        <f>'Budget Plan'!J37+'Budget Plan'!J84</f>
        <v>0</v>
      </c>
      <c r="I14" s="156">
        <f>'Budget Plan'!K37+'Budget Plan'!K84</f>
        <v>0</v>
      </c>
    </row>
    <row r="15" spans="2:9" ht="20.25" customHeight="1" x14ac:dyDescent="0.25">
      <c r="B15" s="138" t="s">
        <v>1094</v>
      </c>
      <c r="C15" s="155">
        <f>'Budget Plan'!C74+'Budget Plan'!C91</f>
        <v>0</v>
      </c>
      <c r="D15" s="155">
        <f>'Budget Plan'!E74+'Budget Plan'!E91</f>
        <v>0</v>
      </c>
      <c r="E15" s="155">
        <f>'Budget Plan'!G74+'Budget Plan'!G91</f>
        <v>0</v>
      </c>
      <c r="F15" s="155">
        <f>'Budget Plan'!H74+'Budget Plan'!H91</f>
        <v>0</v>
      </c>
      <c r="G15" s="155">
        <f>'Budget Plan'!I74+'Budget Plan'!I91</f>
        <v>0</v>
      </c>
      <c r="H15" s="155">
        <f>'Budget Plan'!J74+'Budget Plan'!J91</f>
        <v>0</v>
      </c>
      <c r="I15" s="156">
        <f>'Budget Plan'!K74+'Budget Plan'!K91</f>
        <v>0</v>
      </c>
    </row>
    <row r="16" spans="2:9" ht="20.25" customHeight="1" x14ac:dyDescent="0.25">
      <c r="B16" s="138" t="s">
        <v>1095</v>
      </c>
      <c r="C16" s="155">
        <f>C14-C15</f>
        <v>0</v>
      </c>
      <c r="D16" s="155">
        <f>D14-D15</f>
        <v>0</v>
      </c>
      <c r="E16" s="155">
        <f t="shared" ref="E16:I16" si="1">E14-E15</f>
        <v>0</v>
      </c>
      <c r="F16" s="155">
        <f t="shared" si="1"/>
        <v>0</v>
      </c>
      <c r="G16" s="155">
        <f t="shared" si="1"/>
        <v>0</v>
      </c>
      <c r="H16" s="155">
        <f t="shared" si="1"/>
        <v>0</v>
      </c>
      <c r="I16" s="156">
        <f t="shared" si="1"/>
        <v>0</v>
      </c>
    </row>
    <row r="17" spans="2:9" ht="20.25" customHeight="1" x14ac:dyDescent="0.25">
      <c r="B17" s="138" t="s">
        <v>1096</v>
      </c>
      <c r="C17" s="155">
        <f>C13+C16</f>
        <v>0</v>
      </c>
      <c r="D17" s="155">
        <f>D13+D16</f>
        <v>0</v>
      </c>
      <c r="E17" s="155">
        <f t="shared" ref="E17:I17" si="2">E13+E16</f>
        <v>0</v>
      </c>
      <c r="F17" s="155">
        <f t="shared" si="2"/>
        <v>0</v>
      </c>
      <c r="G17" s="155">
        <f t="shared" si="2"/>
        <v>0</v>
      </c>
      <c r="H17" s="155">
        <f t="shared" si="2"/>
        <v>0</v>
      </c>
      <c r="I17" s="156">
        <f t="shared" si="2"/>
        <v>0</v>
      </c>
    </row>
    <row r="18" spans="2:9" ht="20.25" customHeight="1" thickBot="1" x14ac:dyDescent="0.3">
      <c r="B18" s="139" t="s">
        <v>1097</v>
      </c>
      <c r="C18" s="166">
        <f>IFERROR((C17/C14),0)</f>
        <v>0</v>
      </c>
      <c r="D18" s="166" t="str">
        <f>IFERROR((D17/D14)," ")</f>
        <v xml:space="preserve"> </v>
      </c>
      <c r="E18" s="166" t="str">
        <f t="shared" ref="E18:I18" si="3">IFERROR((E17/E14)," ")</f>
        <v xml:space="preserve"> </v>
      </c>
      <c r="F18" s="166" t="str">
        <f t="shared" si="3"/>
        <v xml:space="preserve"> </v>
      </c>
      <c r="G18" s="166" t="str">
        <f t="shared" si="3"/>
        <v xml:space="preserve"> </v>
      </c>
      <c r="H18" s="166" t="str">
        <f t="shared" si="3"/>
        <v xml:space="preserve"> </v>
      </c>
      <c r="I18" s="166" t="str">
        <f t="shared" si="3"/>
        <v xml:space="preserve"> </v>
      </c>
    </row>
    <row r="20" spans="2:9" ht="13.5" thickBot="1" x14ac:dyDescent="0.3">
      <c r="B20" s="27"/>
      <c r="C20" s="28"/>
      <c r="D20" s="25"/>
      <c r="E20" s="28"/>
    </row>
    <row r="21" spans="2:9" ht="13.5" thickBot="1" x14ac:dyDescent="0.3">
      <c r="B21" s="29" t="s">
        <v>1098</v>
      </c>
      <c r="C21" s="144">
        <v>45200</v>
      </c>
      <c r="D21" s="144">
        <v>45566</v>
      </c>
      <c r="E21" s="144">
        <v>45931</v>
      </c>
      <c r="F21" s="144">
        <v>46296</v>
      </c>
      <c r="G21" s="144">
        <v>46661</v>
      </c>
      <c r="H21" s="144">
        <v>47027</v>
      </c>
      <c r="I21" s="144">
        <v>47392</v>
      </c>
    </row>
    <row r="22" spans="2:9" ht="13.9" customHeight="1" thickBot="1" x14ac:dyDescent="0.3">
      <c r="B22" s="145" t="s">
        <v>1071</v>
      </c>
      <c r="C22" s="161">
        <f>'PAN - NOR'!B6</f>
        <v>0</v>
      </c>
      <c r="D22" s="161">
        <f>'PAN - NOR'!C6</f>
        <v>0</v>
      </c>
      <c r="E22" s="161">
        <f>'PAN - NOR'!D6</f>
        <v>0</v>
      </c>
      <c r="F22" s="161">
        <f>'PAN - NOR'!E6</f>
        <v>0</v>
      </c>
      <c r="G22" s="161">
        <f>'PAN - NOR'!F6</f>
        <v>0</v>
      </c>
      <c r="H22" s="161">
        <f>'PAN - NOR'!G6</f>
        <v>0</v>
      </c>
      <c r="I22" s="161">
        <f>'PAN - NOR'!H6</f>
        <v>0</v>
      </c>
    </row>
    <row r="23" spans="2:9" ht="13.9" customHeight="1" thickBot="1" x14ac:dyDescent="0.3">
      <c r="B23" s="145"/>
      <c r="C23" s="142"/>
      <c r="D23" s="142"/>
      <c r="E23" s="142"/>
      <c r="F23" s="142"/>
      <c r="G23" s="142"/>
      <c r="H23" s="143"/>
      <c r="I23" s="30"/>
    </row>
    <row r="24" spans="2:9" ht="13.9" customHeight="1" thickBot="1" x14ac:dyDescent="0.3">
      <c r="B24" s="145" t="s">
        <v>1099</v>
      </c>
      <c r="C24" s="140" t="s">
        <v>1085</v>
      </c>
      <c r="D24" s="140" t="s">
        <v>1086</v>
      </c>
      <c r="E24" s="140" t="s">
        <v>1087</v>
      </c>
      <c r="F24" s="140" t="s">
        <v>1088</v>
      </c>
      <c r="G24" s="140" t="s">
        <v>1089</v>
      </c>
      <c r="H24" s="140" t="s">
        <v>1090</v>
      </c>
      <c r="I24" s="141" t="s">
        <v>1091</v>
      </c>
    </row>
    <row r="25" spans="2:9" ht="13.9" customHeight="1" thickBot="1" x14ac:dyDescent="0.3">
      <c r="B25" s="145" t="s">
        <v>1100</v>
      </c>
      <c r="C25" s="161">
        <f>'PAN - NOR'!B26</f>
        <v>0</v>
      </c>
      <c r="D25" s="161">
        <f>'PAN - NOR'!C26</f>
        <v>0</v>
      </c>
      <c r="E25" s="161">
        <f>'PAN - NOR'!D26</f>
        <v>0</v>
      </c>
      <c r="F25" s="161">
        <f>'PAN - NOR'!E26</f>
        <v>0</v>
      </c>
      <c r="G25" s="161">
        <f>'PAN - NOR'!F26</f>
        <v>0</v>
      </c>
      <c r="H25" s="161">
        <f>'PAN - NOR'!G26</f>
        <v>0</v>
      </c>
      <c r="I25" s="161">
        <f>'PAN - NOR'!H26</f>
        <v>0</v>
      </c>
    </row>
    <row r="26" spans="2:9" ht="13.9" customHeight="1" x14ac:dyDescent="0.25">
      <c r="B26" s="27"/>
      <c r="C26" s="28"/>
      <c r="D26" s="28"/>
      <c r="E26" s="28"/>
      <c r="F26" s="28"/>
      <c r="G26" s="28"/>
      <c r="H26" s="28"/>
      <c r="I26" s="25"/>
    </row>
    <row r="27" spans="2:9" ht="13.9" customHeight="1" thickBot="1" x14ac:dyDescent="0.3">
      <c r="B27" s="27"/>
      <c r="C27" s="28"/>
      <c r="D27" s="28"/>
      <c r="E27" s="28"/>
      <c r="F27" s="28"/>
      <c r="G27" s="28"/>
      <c r="H27" s="28"/>
      <c r="I27" s="25"/>
    </row>
    <row r="28" spans="2:9" ht="13.9" customHeight="1" thickBot="1" x14ac:dyDescent="0.3">
      <c r="B28" s="444" t="s">
        <v>1013</v>
      </c>
      <c r="C28" s="445"/>
      <c r="D28" s="445"/>
      <c r="E28" s="445"/>
      <c r="F28" s="445"/>
      <c r="G28" s="445"/>
      <c r="H28" s="445"/>
      <c r="I28" s="446"/>
    </row>
    <row r="29" spans="2:9" ht="13.5" thickBot="1" x14ac:dyDescent="0.3">
      <c r="B29" s="150" t="s">
        <v>1101</v>
      </c>
      <c r="C29" s="433"/>
      <c r="D29" s="434"/>
      <c r="E29" s="434"/>
      <c r="F29" s="434"/>
      <c r="G29" s="434"/>
      <c r="H29" s="434"/>
      <c r="I29" s="435"/>
    </row>
    <row r="30" spans="2:9" ht="26.5" thickBot="1" x14ac:dyDescent="0.3">
      <c r="B30" s="150" t="s">
        <v>1102</v>
      </c>
      <c r="C30" s="433"/>
      <c r="D30" s="434"/>
      <c r="E30" s="434"/>
      <c r="F30" s="434"/>
      <c r="G30" s="434"/>
      <c r="H30" s="434"/>
      <c r="I30" s="435"/>
    </row>
    <row r="31" spans="2:9" ht="13.5" thickBot="1" x14ac:dyDescent="0.3">
      <c r="B31" s="150" t="s">
        <v>1103</v>
      </c>
      <c r="C31" s="433"/>
      <c r="D31" s="434"/>
      <c r="E31" s="434"/>
      <c r="F31" s="434"/>
      <c r="G31" s="434"/>
      <c r="H31" s="434"/>
      <c r="I31" s="435"/>
    </row>
    <row r="32" spans="2:9" ht="13.5" thickBot="1" x14ac:dyDescent="0.3">
      <c r="B32" s="150" t="s">
        <v>1104</v>
      </c>
      <c r="C32" s="433"/>
      <c r="D32" s="434"/>
      <c r="E32" s="434"/>
      <c r="F32" s="434"/>
      <c r="G32" s="434"/>
      <c r="H32" s="434"/>
      <c r="I32" s="435"/>
    </row>
    <row r="33" spans="2:9" ht="26.5" thickBot="1" x14ac:dyDescent="0.3">
      <c r="B33" s="150" t="s">
        <v>1105</v>
      </c>
      <c r="C33" s="436"/>
      <c r="D33" s="437"/>
      <c r="E33" s="437"/>
      <c r="F33" s="437"/>
      <c r="G33" s="437"/>
      <c r="H33" s="437"/>
      <c r="I33" s="438"/>
    </row>
    <row r="34" spans="2:9" ht="13.5" thickBot="1" x14ac:dyDescent="0.35">
      <c r="B34" s="157"/>
      <c r="C34" s="158"/>
      <c r="D34" s="158"/>
      <c r="E34" s="158"/>
    </row>
    <row r="35" spans="2:9" ht="39" x14ac:dyDescent="0.25">
      <c r="B35" s="26" t="s">
        <v>1106</v>
      </c>
      <c r="C35" s="30" t="s">
        <v>1107</v>
      </c>
      <c r="D35" s="30" t="s">
        <v>1108</v>
      </c>
      <c r="E35" s="30" t="s">
        <v>1109</v>
      </c>
      <c r="F35" s="30" t="s">
        <v>1110</v>
      </c>
      <c r="G35" s="30" t="s">
        <v>1111</v>
      </c>
      <c r="H35" s="440" t="s">
        <v>1112</v>
      </c>
      <c r="I35" s="441"/>
    </row>
    <row r="36" spans="2:9" ht="13.5" thickBot="1" x14ac:dyDescent="0.3">
      <c r="B36" s="32" t="s">
        <v>1113</v>
      </c>
      <c r="C36" s="155">
        <f>Establishment!J7-Establishment!K7</f>
        <v>0</v>
      </c>
      <c r="D36" s="155">
        <f>Establishment!K7-Establishment!L7</f>
        <v>0</v>
      </c>
      <c r="E36" s="155">
        <f>Establishment!L7-Establishment!M7</f>
        <v>0</v>
      </c>
      <c r="F36" s="155">
        <f>Establishment!M7-Establishment!N7</f>
        <v>0</v>
      </c>
      <c r="G36" s="155">
        <f>Establishment!N7-Establishment!O7</f>
        <v>0</v>
      </c>
      <c r="H36" s="429"/>
      <c r="I36" s="430"/>
    </row>
    <row r="37" spans="2:9" ht="13.5" thickBot="1" x14ac:dyDescent="0.3">
      <c r="B37" s="32" t="s">
        <v>1114</v>
      </c>
      <c r="C37" s="155">
        <f>Establishment!J8-Establishment!K8</f>
        <v>0</v>
      </c>
      <c r="D37" s="155">
        <f>Establishment!K8-Establishment!L8</f>
        <v>0</v>
      </c>
      <c r="E37" s="155">
        <f>Establishment!L8-Establishment!M8</f>
        <v>0</v>
      </c>
      <c r="F37" s="155">
        <f>Establishment!M8-Establishment!N8</f>
        <v>0</v>
      </c>
      <c r="G37" s="155">
        <f>Establishment!N8-Establishment!O8</f>
        <v>0</v>
      </c>
      <c r="H37" s="429"/>
      <c r="I37" s="430"/>
    </row>
    <row r="38" spans="2:9" ht="13.5" thickBot="1" x14ac:dyDescent="0.3">
      <c r="B38" s="32" t="s">
        <v>1115</v>
      </c>
      <c r="C38" s="155">
        <f>Establishment!J9-Establishment!K9</f>
        <v>0</v>
      </c>
      <c r="D38" s="155">
        <f>Establishment!K9-Establishment!L9</f>
        <v>0</v>
      </c>
      <c r="E38" s="155">
        <f>Establishment!L9-Establishment!M9</f>
        <v>0</v>
      </c>
      <c r="F38" s="155">
        <f>Establishment!M9-Establishment!N9</f>
        <v>0</v>
      </c>
      <c r="G38" s="155">
        <f>Establishment!N9-Establishment!O9</f>
        <v>0</v>
      </c>
      <c r="H38" s="429"/>
      <c r="I38" s="430"/>
    </row>
    <row r="39" spans="2:9" ht="13.5" thickBot="1" x14ac:dyDescent="0.3">
      <c r="B39" s="32" t="s">
        <v>1116</v>
      </c>
      <c r="C39" s="155">
        <f>Establishment!J10-Establishment!K10</f>
        <v>0</v>
      </c>
      <c r="D39" s="155">
        <f>Establishment!K10-Establishment!L10</f>
        <v>0</v>
      </c>
      <c r="E39" s="155">
        <f>Establishment!L10-Establishment!M10</f>
        <v>0</v>
      </c>
      <c r="F39" s="155">
        <f>Establishment!M10-Establishment!N10</f>
        <v>0</v>
      </c>
      <c r="G39" s="155">
        <f>Establishment!N10-Establishment!O10</f>
        <v>0</v>
      </c>
      <c r="H39" s="429"/>
      <c r="I39" s="430"/>
    </row>
    <row r="40" spans="2:9" ht="13.5" thickBot="1" x14ac:dyDescent="0.3">
      <c r="B40" s="32" t="s">
        <v>1117</v>
      </c>
      <c r="C40" s="155">
        <f>Establishment!J11-Establishment!K11</f>
        <v>0</v>
      </c>
      <c r="D40" s="155">
        <f>Establishment!K11-Establishment!L11</f>
        <v>0</v>
      </c>
      <c r="E40" s="155">
        <f>Establishment!L11-Establishment!M11</f>
        <v>0</v>
      </c>
      <c r="F40" s="155">
        <f>Establishment!M11-Establishment!N11</f>
        <v>0</v>
      </c>
      <c r="G40" s="155">
        <f>Establishment!N11-Establishment!O11</f>
        <v>0</v>
      </c>
      <c r="H40" s="429"/>
      <c r="I40" s="430"/>
    </row>
    <row r="41" spans="2:9" ht="13.5" thickBot="1" x14ac:dyDescent="0.3">
      <c r="B41" s="32" t="s">
        <v>1118</v>
      </c>
      <c r="C41" s="155">
        <f>Establishment!J12-Establishment!K12</f>
        <v>0</v>
      </c>
      <c r="D41" s="155">
        <f>Establishment!K12-Establishment!L12</f>
        <v>0</v>
      </c>
      <c r="E41" s="155">
        <f>Establishment!L12-Establishment!M12</f>
        <v>0</v>
      </c>
      <c r="F41" s="155">
        <f>Establishment!M12-Establishment!N12</f>
        <v>0</v>
      </c>
      <c r="G41" s="155">
        <f>Establishment!N12-Establishment!O12</f>
        <v>0</v>
      </c>
      <c r="H41" s="429"/>
      <c r="I41" s="430"/>
    </row>
    <row r="42" spans="2:9" ht="13.5" thickBot="1" x14ac:dyDescent="0.3">
      <c r="B42" s="32" t="s">
        <v>1119</v>
      </c>
      <c r="C42" s="155">
        <f>Establishment!J13-Establishment!K13</f>
        <v>0</v>
      </c>
      <c r="D42" s="155">
        <f>Establishment!K13-Establishment!L13</f>
        <v>0</v>
      </c>
      <c r="E42" s="155">
        <f>Establishment!L13-Establishment!M13</f>
        <v>0</v>
      </c>
      <c r="F42" s="155">
        <f>Establishment!M13-Establishment!N13</f>
        <v>0</v>
      </c>
      <c r="G42" s="155">
        <f>Establishment!N13-Establishment!O13</f>
        <v>0</v>
      </c>
      <c r="H42" s="429"/>
      <c r="I42" s="430"/>
    </row>
    <row r="43" spans="2:9" ht="13.5" thickBot="1" x14ac:dyDescent="0.3">
      <c r="B43" s="32" t="s">
        <v>1120</v>
      </c>
      <c r="C43" s="155">
        <f>Establishment!J14-Establishment!K14</f>
        <v>0</v>
      </c>
      <c r="D43" s="155">
        <f>Establishment!K14-Establishment!L14</f>
        <v>0</v>
      </c>
      <c r="E43" s="155">
        <f>Establishment!L14-Establishment!M14</f>
        <v>0</v>
      </c>
      <c r="F43" s="155">
        <f>Establishment!M14-Establishment!N14</f>
        <v>0</v>
      </c>
      <c r="G43" s="155">
        <f>Establishment!N14-Establishment!O14</f>
        <v>0</v>
      </c>
      <c r="H43" s="429"/>
      <c r="I43" s="430"/>
    </row>
    <row r="44" spans="2:9" ht="13" x14ac:dyDescent="0.25">
      <c r="B44" s="32" t="s">
        <v>1121</v>
      </c>
      <c r="C44" s="155">
        <f>Establishment!J15-Establishment!K15</f>
        <v>0</v>
      </c>
      <c r="D44" s="155">
        <f>Establishment!K15-Establishment!L15</f>
        <v>0</v>
      </c>
      <c r="E44" s="155">
        <f>Establishment!L15-Establishment!M15</f>
        <v>0</v>
      </c>
      <c r="F44" s="155">
        <f>Establishment!M15-Establishment!N15</f>
        <v>0</v>
      </c>
      <c r="G44" s="155">
        <f>Establishment!N15-Establishment!O15</f>
        <v>0</v>
      </c>
      <c r="H44" s="429"/>
      <c r="I44" s="430"/>
    </row>
    <row r="45" spans="2:9" ht="13" x14ac:dyDescent="0.25">
      <c r="B45" s="32" t="s">
        <v>1121</v>
      </c>
      <c r="C45" s="155">
        <f>Establishment!J16-Establishment!K16</f>
        <v>0</v>
      </c>
      <c r="D45" s="155">
        <f>Establishment!K16-Establishment!L16</f>
        <v>0</v>
      </c>
      <c r="E45" s="155">
        <f>Establishment!L16-Establishment!M16</f>
        <v>0</v>
      </c>
      <c r="F45" s="155">
        <f>Establishment!M16-Establishment!N16</f>
        <v>0</v>
      </c>
      <c r="G45" s="155">
        <f>Establishment!N16-Establishment!O16</f>
        <v>0</v>
      </c>
      <c r="H45" s="429"/>
      <c r="I45" s="430"/>
    </row>
    <row r="46" spans="2:9" ht="13" x14ac:dyDescent="0.25">
      <c r="B46" s="32" t="s">
        <v>1121</v>
      </c>
      <c r="C46" s="155">
        <f>Establishment!J17-Establishment!K17</f>
        <v>0</v>
      </c>
      <c r="D46" s="155">
        <f>Establishment!K17-Establishment!L17</f>
        <v>0</v>
      </c>
      <c r="E46" s="155">
        <f>Establishment!L17-Establishment!M17</f>
        <v>0</v>
      </c>
      <c r="F46" s="155">
        <f>Establishment!M17-Establishment!N17</f>
        <v>0</v>
      </c>
      <c r="G46" s="155">
        <f>Establishment!N17-Establishment!O17</f>
        <v>0</v>
      </c>
      <c r="H46" s="429"/>
      <c r="I46" s="430"/>
    </row>
    <row r="47" spans="2:9" ht="13.5" thickBot="1" x14ac:dyDescent="0.3">
      <c r="B47" s="32" t="s">
        <v>1122</v>
      </c>
      <c r="C47" s="162"/>
      <c r="D47" s="162"/>
      <c r="E47" s="162"/>
      <c r="F47" s="162"/>
      <c r="G47" s="162"/>
      <c r="H47" s="429"/>
      <c r="I47" s="430"/>
    </row>
    <row r="48" spans="2:9" ht="13.5" thickBot="1" x14ac:dyDescent="0.3">
      <c r="B48" s="32" t="s">
        <v>1123</v>
      </c>
      <c r="C48" s="162"/>
      <c r="D48" s="162"/>
      <c r="E48" s="162"/>
      <c r="F48" s="162"/>
      <c r="G48" s="162"/>
      <c r="H48" s="429"/>
      <c r="I48" s="430"/>
    </row>
    <row r="49" spans="2:9" ht="13.5" thickBot="1" x14ac:dyDescent="0.3">
      <c r="B49" s="32" t="s">
        <v>1124</v>
      </c>
      <c r="C49" s="162"/>
      <c r="D49" s="162"/>
      <c r="E49" s="162"/>
      <c r="F49" s="162"/>
      <c r="G49" s="162"/>
      <c r="H49" s="429"/>
      <c r="I49" s="430"/>
    </row>
    <row r="50" spans="2:9" ht="13.5" thickBot="1" x14ac:dyDescent="0.3">
      <c r="B50" s="32" t="s">
        <v>1124</v>
      </c>
      <c r="C50" s="162"/>
      <c r="D50" s="162"/>
      <c r="E50" s="162"/>
      <c r="F50" s="162"/>
      <c r="G50" s="162"/>
      <c r="H50" s="429"/>
      <c r="I50" s="430"/>
    </row>
    <row r="51" spans="2:9" ht="13.5" thickBot="1" x14ac:dyDescent="0.3">
      <c r="B51" s="32" t="s">
        <v>1124</v>
      </c>
      <c r="C51" s="162"/>
      <c r="D51" s="162"/>
      <c r="E51" s="162"/>
      <c r="F51" s="162"/>
      <c r="G51" s="162"/>
      <c r="H51" s="429"/>
      <c r="I51" s="430"/>
    </row>
    <row r="52" spans="2:9" ht="13.5" thickBot="1" x14ac:dyDescent="0.3">
      <c r="B52" s="32" t="s">
        <v>1125</v>
      </c>
      <c r="C52" s="162"/>
      <c r="D52" s="162"/>
      <c r="E52" s="162"/>
      <c r="F52" s="162"/>
      <c r="G52" s="162"/>
      <c r="H52" s="429"/>
      <c r="I52" s="430"/>
    </row>
    <row r="53" spans="2:9" s="153" customFormat="1" ht="13.5" thickBot="1" x14ac:dyDescent="0.35">
      <c r="B53" s="159" t="s">
        <v>1126</v>
      </c>
      <c r="C53" s="163">
        <f>SUM(C36:C52)</f>
        <v>0</v>
      </c>
      <c r="D53" s="164">
        <f t="shared" ref="D53:H53" si="4">SUM(D36:D52)</f>
        <v>0</v>
      </c>
      <c r="E53" s="164">
        <f t="shared" si="4"/>
        <v>0</v>
      </c>
      <c r="F53" s="164">
        <f t="shared" si="4"/>
        <v>0</v>
      </c>
      <c r="G53" s="164">
        <f t="shared" si="4"/>
        <v>0</v>
      </c>
      <c r="H53" s="164">
        <f t="shared" si="4"/>
        <v>0</v>
      </c>
      <c r="I53" s="165"/>
    </row>
    <row r="54" spans="2:9" ht="13.5" thickBot="1" x14ac:dyDescent="0.35">
      <c r="B54" s="158"/>
    </row>
    <row r="55" spans="2:9" ht="13.5" thickBot="1" x14ac:dyDescent="0.35">
      <c r="B55" s="159" t="s">
        <v>1127</v>
      </c>
      <c r="C55" s="30" t="s">
        <v>1086</v>
      </c>
      <c r="D55" s="30" t="s">
        <v>1087</v>
      </c>
      <c r="E55" s="30" t="s">
        <v>1088</v>
      </c>
      <c r="F55" s="30" t="s">
        <v>1089</v>
      </c>
      <c r="G55" s="30" t="s">
        <v>1090</v>
      </c>
      <c r="H55" s="30" t="s">
        <v>1091</v>
      </c>
      <c r="I55" s="30" t="s">
        <v>1112</v>
      </c>
    </row>
    <row r="56" spans="2:9" ht="13.5" thickBot="1" x14ac:dyDescent="0.35">
      <c r="B56" s="159" t="s">
        <v>1128</v>
      </c>
      <c r="C56" s="173">
        <f>IFERROR(SUM(Establishment!J18/Summary!D14),0)</f>
        <v>0</v>
      </c>
      <c r="D56" s="173">
        <f>IFERROR(SUM(Establishment!K18/Summary!E14),0)</f>
        <v>0</v>
      </c>
      <c r="E56" s="173">
        <f>IFERROR(SUM(Establishment!L18/Summary!F14),0)</f>
        <v>0</v>
      </c>
      <c r="F56" s="173">
        <f>IFERROR(SUM(Establishment!M18/Summary!G14),0)</f>
        <v>0</v>
      </c>
      <c r="G56" s="173">
        <f>IFERROR(SUM(Establishment!N18/Summary!H14),0)</f>
        <v>0</v>
      </c>
      <c r="H56" s="173">
        <f>IFERROR(SUM(Establishment!O18/Summary!I14),0)</f>
        <v>0</v>
      </c>
      <c r="I56" s="176"/>
    </row>
    <row r="57" spans="2:9" ht="13.5" thickBot="1" x14ac:dyDescent="0.35">
      <c r="B57" s="159" t="s">
        <v>1129</v>
      </c>
      <c r="C57" s="173">
        <f>IFERROR(SUM(Establishment!J18/Summary!D15),0)</f>
        <v>0</v>
      </c>
      <c r="D57" s="173">
        <f>IFERROR(SUM(Establishment!K18/Summary!E15),0)</f>
        <v>0</v>
      </c>
      <c r="E57" s="173">
        <f>IFERROR(SUM(Establishment!L18/Summary!F15),0)</f>
        <v>0</v>
      </c>
      <c r="F57" s="173">
        <f>IFERROR(SUM(Establishment!M18/Summary!G15),0)</f>
        <v>0</v>
      </c>
      <c r="G57" s="173">
        <f>IFERROR(SUM(Establishment!N18/Summary!H15),0)</f>
        <v>0</v>
      </c>
      <c r="H57" s="173">
        <f>IFERROR(SUM(Establishment!O18/Summary!I15),0)</f>
        <v>0</v>
      </c>
      <c r="I57" s="176"/>
    </row>
    <row r="58" spans="2:9" ht="13.5" thickBot="1" x14ac:dyDescent="0.35">
      <c r="B58" s="159" t="s">
        <v>1130</v>
      </c>
      <c r="C58" s="167">
        <f>IFERROR(AVERAGE('PAN - NOR'!C10:C25),0)</f>
        <v>0</v>
      </c>
      <c r="D58" s="167">
        <f>IFERROR(AVERAGE('PAN - NOR'!D10:D25),0)</f>
        <v>0</v>
      </c>
      <c r="E58" s="167">
        <f>IFERROR(AVERAGE('PAN - NOR'!E10:E25),0)</f>
        <v>0</v>
      </c>
      <c r="F58" s="167">
        <f>IFERROR(AVERAGE('PAN - NOR'!F10:F25),0)</f>
        <v>0</v>
      </c>
      <c r="G58" s="167">
        <f>IFERROR(AVERAGE('PAN - NOR'!G10:G25),0)</f>
        <v>0</v>
      </c>
      <c r="H58" s="167">
        <f>IFERROR((AVERAGE('PAN - NOR'!H10:H25)),0)</f>
        <v>0</v>
      </c>
      <c r="I58" s="176"/>
    </row>
    <row r="59" spans="2:9" ht="13.5" thickBot="1" x14ac:dyDescent="0.35">
      <c r="B59" s="159" t="s">
        <v>1131</v>
      </c>
      <c r="C59" s="174">
        <f>IFERROR((Establishment!J7/Establishment!C7),0)</f>
        <v>0</v>
      </c>
      <c r="D59" s="174">
        <f>IFERROR((Establishment!K7/Establishment!D7),0)</f>
        <v>0</v>
      </c>
      <c r="E59" s="174">
        <f>IFERROR((Establishment!L7/Establishment!E7),0)</f>
        <v>0</v>
      </c>
      <c r="F59" s="174">
        <f>IFERROR((Establishment!M7/Establishment!F7),0)</f>
        <v>0</v>
      </c>
      <c r="G59" s="174">
        <f>IFERROR((Establishment!N7/Establishment!G7),0)</f>
        <v>0</v>
      </c>
      <c r="H59" s="174">
        <f>IFERROR((Establishment!O7/Establishment!H7),0)</f>
        <v>0</v>
      </c>
      <c r="I59" s="176"/>
    </row>
    <row r="60" spans="2:9" ht="13.5" thickBot="1" x14ac:dyDescent="0.35">
      <c r="B60" s="159" t="s">
        <v>1076</v>
      </c>
      <c r="C60" s="175">
        <f>IFERROR(('PAN - NOR'!C26/Establishment!C7),0)</f>
        <v>0</v>
      </c>
      <c r="D60" s="175">
        <f>IFERROR(('PAN - NOR'!D26/Establishment!D7),0)</f>
        <v>0</v>
      </c>
      <c r="E60" s="175">
        <f>IFERROR(('PAN - NOR'!E26/Establishment!E7),0)</f>
        <v>0</v>
      </c>
      <c r="F60" s="175">
        <f>IFERROR(('PAN - NOR'!F26/Establishment!F7),0)</f>
        <v>0</v>
      </c>
      <c r="G60" s="175">
        <f>IFERROR(('PAN - NOR'!G26/Establishment!G7),0)</f>
        <v>0</v>
      </c>
      <c r="H60" s="175">
        <f>IFERROR(('PAN - NOR'!H26/Establishment!H7),0)</f>
        <v>0</v>
      </c>
      <c r="I60" s="176"/>
    </row>
    <row r="61" spans="2:9" ht="13.5" thickBot="1" x14ac:dyDescent="0.35">
      <c r="B61" s="159" t="s">
        <v>1132</v>
      </c>
      <c r="C61" s="167" t="str">
        <f>'PTR, Contact Ratio'!D22</f>
        <v>-</v>
      </c>
      <c r="D61" s="167" t="str">
        <f>'PTR, Contact Ratio'!H22</f>
        <v>-</v>
      </c>
      <c r="E61" s="167" t="str">
        <f>'PTR, Contact Ratio'!J22</f>
        <v>-</v>
      </c>
      <c r="F61" s="167" t="str">
        <f>'PTR, Contact Ratio'!L22</f>
        <v>-</v>
      </c>
      <c r="G61" s="167" t="str">
        <f>'PTR, Contact Ratio'!N22</f>
        <v>-</v>
      </c>
      <c r="H61" s="167" t="str">
        <f>'PTR, Contact Ratio'!P22</f>
        <v>-</v>
      </c>
      <c r="I61" s="176"/>
    </row>
    <row r="62" spans="2:9" ht="13.5" thickBot="1" x14ac:dyDescent="0.35">
      <c r="B62" s="159" t="s">
        <v>1133</v>
      </c>
      <c r="C62" s="167">
        <f>Establishment!C7</f>
        <v>0</v>
      </c>
      <c r="D62" s="167">
        <f>Establishment!D7</f>
        <v>0</v>
      </c>
      <c r="E62" s="167">
        <f>Establishment!E7</f>
        <v>0</v>
      </c>
      <c r="F62" s="167">
        <f>Establishment!F7</f>
        <v>0</v>
      </c>
      <c r="G62" s="167">
        <f>Establishment!G7</f>
        <v>0</v>
      </c>
      <c r="H62" s="167">
        <f>Establishment!H7</f>
        <v>0</v>
      </c>
      <c r="I62" s="176"/>
    </row>
    <row r="63" spans="2:9" ht="13.5" thickBot="1" x14ac:dyDescent="0.35">
      <c r="B63" s="159" t="s">
        <v>1134</v>
      </c>
      <c r="C63" s="167">
        <f>Establishment!C8</f>
        <v>0</v>
      </c>
      <c r="D63" s="167">
        <f>Establishment!D8</f>
        <v>0</v>
      </c>
      <c r="E63" s="167">
        <f>Establishment!E8</f>
        <v>0</v>
      </c>
      <c r="F63" s="167">
        <f>Establishment!F8</f>
        <v>0</v>
      </c>
      <c r="G63" s="167">
        <f>Establishment!G8</f>
        <v>0</v>
      </c>
      <c r="H63" s="167">
        <f>Establishment!H8</f>
        <v>0</v>
      </c>
      <c r="I63" s="176"/>
    </row>
    <row r="64" spans="2:9" ht="13.5" thickBot="1" x14ac:dyDescent="0.35">
      <c r="B64" s="159" t="s">
        <v>1135</v>
      </c>
      <c r="C64" s="167">
        <f>Establishment!C9</f>
        <v>0</v>
      </c>
      <c r="D64" s="167">
        <f>Establishment!D9</f>
        <v>0</v>
      </c>
      <c r="E64" s="167">
        <f>Establishment!E9</f>
        <v>0</v>
      </c>
      <c r="F64" s="167">
        <f>Establishment!F9</f>
        <v>0</v>
      </c>
      <c r="G64" s="167">
        <f>Establishment!G9</f>
        <v>0</v>
      </c>
      <c r="H64" s="167">
        <f>Establishment!H9</f>
        <v>0</v>
      </c>
      <c r="I64" s="176"/>
    </row>
    <row r="65" spans="2:11" ht="13.5" thickBot="1" x14ac:dyDescent="0.35">
      <c r="B65" s="159" t="s">
        <v>1136</v>
      </c>
      <c r="C65" s="167">
        <f>Establishment!C10</f>
        <v>0</v>
      </c>
      <c r="D65" s="167">
        <f>Establishment!D10</f>
        <v>0</v>
      </c>
      <c r="E65" s="167">
        <f>Establishment!E10</f>
        <v>0</v>
      </c>
      <c r="F65" s="167">
        <f>Establishment!F10</f>
        <v>0</v>
      </c>
      <c r="G65" s="167">
        <f>Establishment!G10</f>
        <v>0</v>
      </c>
      <c r="H65" s="167">
        <f>Establishment!H10</f>
        <v>0</v>
      </c>
      <c r="I65" s="176"/>
    </row>
    <row r="66" spans="2:11" ht="13.5" thickBot="1" x14ac:dyDescent="0.35">
      <c r="B66" s="159" t="s">
        <v>1137</v>
      </c>
      <c r="C66" s="167">
        <f>Establishment!C11</f>
        <v>0</v>
      </c>
      <c r="D66" s="167">
        <f>Establishment!D11</f>
        <v>0</v>
      </c>
      <c r="E66" s="167">
        <f>Establishment!E11</f>
        <v>0</v>
      </c>
      <c r="F66" s="167">
        <f>Establishment!F11</f>
        <v>0</v>
      </c>
      <c r="G66" s="167">
        <f>Establishment!G11</f>
        <v>0</v>
      </c>
      <c r="H66" s="167">
        <f>Establishment!H11</f>
        <v>0</v>
      </c>
      <c r="I66" s="176"/>
    </row>
    <row r="67" spans="2:11" ht="13.5" thickBot="1" x14ac:dyDescent="0.35">
      <c r="B67" s="159" t="s">
        <v>1138</v>
      </c>
      <c r="C67" s="167">
        <f>Establishment!C12</f>
        <v>0</v>
      </c>
      <c r="D67" s="167">
        <f>Establishment!D12</f>
        <v>0</v>
      </c>
      <c r="E67" s="167">
        <f>Establishment!E12</f>
        <v>0</v>
      </c>
      <c r="F67" s="167">
        <f>Establishment!F12</f>
        <v>0</v>
      </c>
      <c r="G67" s="167">
        <f>Establishment!G12</f>
        <v>0</v>
      </c>
      <c r="H67" s="167">
        <f>Establishment!H12</f>
        <v>0</v>
      </c>
      <c r="I67" s="176"/>
    </row>
    <row r="68" spans="2:11" ht="13.5" thickBot="1" x14ac:dyDescent="0.35">
      <c r="B68" s="159" t="s">
        <v>1139</v>
      </c>
      <c r="C68" s="167">
        <f>Establishment!C13</f>
        <v>0</v>
      </c>
      <c r="D68" s="167">
        <f>Establishment!D13</f>
        <v>0</v>
      </c>
      <c r="E68" s="167">
        <f>Establishment!E13</f>
        <v>0</v>
      </c>
      <c r="F68" s="167">
        <f>Establishment!F13</f>
        <v>0</v>
      </c>
      <c r="G68" s="167">
        <f>Establishment!G13</f>
        <v>0</v>
      </c>
      <c r="H68" s="167">
        <f>Establishment!H13</f>
        <v>0</v>
      </c>
      <c r="I68" s="176"/>
    </row>
    <row r="69" spans="2:11" ht="13.5" thickBot="1" x14ac:dyDescent="0.35">
      <c r="B69" s="159" t="s">
        <v>1140</v>
      </c>
      <c r="C69" s="167">
        <f>Establishment!C14</f>
        <v>0</v>
      </c>
      <c r="D69" s="167">
        <f>Establishment!D14</f>
        <v>0</v>
      </c>
      <c r="E69" s="167">
        <f>Establishment!E14</f>
        <v>0</v>
      </c>
      <c r="F69" s="167">
        <f>Establishment!F14</f>
        <v>0</v>
      </c>
      <c r="G69" s="167">
        <f>Establishment!G14</f>
        <v>0</v>
      </c>
      <c r="H69" s="167">
        <f>Establishment!H14</f>
        <v>0</v>
      </c>
      <c r="I69" s="176"/>
    </row>
    <row r="70" spans="2:11" ht="13.5" thickBot="1" x14ac:dyDescent="0.35">
      <c r="B70" s="159" t="s">
        <v>1141</v>
      </c>
      <c r="C70" s="167">
        <f>Establishment!C15</f>
        <v>0</v>
      </c>
      <c r="D70" s="167">
        <f>Establishment!D15</f>
        <v>0</v>
      </c>
      <c r="E70" s="167">
        <f>Establishment!E15</f>
        <v>0</v>
      </c>
      <c r="F70" s="167">
        <f>Establishment!F15</f>
        <v>0</v>
      </c>
      <c r="G70" s="167">
        <f>Establishment!G15</f>
        <v>0</v>
      </c>
      <c r="H70" s="167">
        <f>Establishment!H15</f>
        <v>0</v>
      </c>
      <c r="I70" s="176"/>
    </row>
    <row r="71" spans="2:11" ht="13.5" thickBot="1" x14ac:dyDescent="0.35">
      <c r="B71" s="159" t="s">
        <v>1141</v>
      </c>
      <c r="C71" s="167">
        <f>Establishment!C16</f>
        <v>0</v>
      </c>
      <c r="D71" s="167">
        <f>Establishment!D16</f>
        <v>0</v>
      </c>
      <c r="E71" s="167">
        <f>Establishment!E16</f>
        <v>0</v>
      </c>
      <c r="F71" s="167">
        <f>Establishment!F16</f>
        <v>0</v>
      </c>
      <c r="G71" s="167">
        <f>Establishment!G16</f>
        <v>0</v>
      </c>
      <c r="H71" s="167">
        <f>Establishment!H16</f>
        <v>0</v>
      </c>
      <c r="I71" s="176"/>
    </row>
    <row r="72" spans="2:11" ht="13.5" thickBot="1" x14ac:dyDescent="0.35">
      <c r="B72" s="159" t="s">
        <v>1141</v>
      </c>
      <c r="C72" s="167">
        <f>Establishment!C17</f>
        <v>0</v>
      </c>
      <c r="D72" s="167">
        <f>Establishment!D17</f>
        <v>0</v>
      </c>
      <c r="E72" s="167">
        <f>Establishment!E17</f>
        <v>0</v>
      </c>
      <c r="F72" s="167">
        <f>Establishment!F17</f>
        <v>0</v>
      </c>
      <c r="G72" s="167">
        <f>Establishment!G17</f>
        <v>0</v>
      </c>
      <c r="H72" s="167">
        <f>Establishment!H17</f>
        <v>0</v>
      </c>
      <c r="I72" s="176"/>
    </row>
    <row r="73" spans="2:11" ht="13.5" thickBot="1" x14ac:dyDescent="0.35">
      <c r="B73" s="158"/>
    </row>
    <row r="74" spans="2:11" ht="13" x14ac:dyDescent="0.3">
      <c r="B74" s="244" t="s">
        <v>1142</v>
      </c>
      <c r="C74" s="245"/>
      <c r="D74" s="245"/>
      <c r="E74" s="245"/>
      <c r="F74" s="245"/>
      <c r="G74" s="246"/>
    </row>
    <row r="75" spans="2:11" ht="13" x14ac:dyDescent="0.3">
      <c r="B75" s="247"/>
      <c r="C75" s="248"/>
      <c r="D75" s="248"/>
      <c r="E75" s="248"/>
      <c r="F75" s="248"/>
      <c r="G75" s="249"/>
    </row>
    <row r="76" spans="2:11" x14ac:dyDescent="0.25">
      <c r="B76" s="250" t="s">
        <v>1143</v>
      </c>
      <c r="C76" s="248"/>
      <c r="D76" s="248"/>
      <c r="E76" s="248"/>
      <c r="F76" s="248"/>
      <c r="G76" s="249" t="s">
        <v>1144</v>
      </c>
    </row>
    <row r="77" spans="2:11" x14ac:dyDescent="0.25">
      <c r="B77" s="250" t="s">
        <v>1145</v>
      </c>
      <c r="C77" s="248"/>
      <c r="D77" s="248"/>
      <c r="E77" s="248"/>
      <c r="F77" s="248"/>
      <c r="G77" s="249" t="s">
        <v>570</v>
      </c>
    </row>
    <row r="78" spans="2:11" ht="13" x14ac:dyDescent="0.25">
      <c r="B78" s="251" t="s">
        <v>1146</v>
      </c>
      <c r="C78" s="248"/>
      <c r="D78" s="248"/>
      <c r="E78" s="248"/>
      <c r="F78" s="248"/>
      <c r="G78" s="249"/>
    </row>
    <row r="79" spans="2:11" x14ac:dyDescent="0.25">
      <c r="B79" s="250" t="s">
        <v>1147</v>
      </c>
      <c r="C79" s="248" t="s">
        <v>1148</v>
      </c>
      <c r="D79" s="248" t="s">
        <v>1149</v>
      </c>
      <c r="E79" s="252"/>
      <c r="F79" s="252"/>
      <c r="G79" s="249" t="s">
        <v>1144</v>
      </c>
      <c r="H79" s="439"/>
      <c r="I79" s="439"/>
      <c r="J79" s="439"/>
      <c r="K79" s="439"/>
    </row>
    <row r="80" spans="2:11" x14ac:dyDescent="0.25">
      <c r="B80" s="250" t="s">
        <v>1150</v>
      </c>
      <c r="C80" s="248" t="s">
        <v>1148</v>
      </c>
      <c r="D80" s="248" t="s">
        <v>1149</v>
      </c>
      <c r="E80" s="252"/>
      <c r="F80" s="252"/>
      <c r="G80" s="249" t="s">
        <v>1144</v>
      </c>
      <c r="H80" s="160"/>
    </row>
    <row r="82" spans="2:7" ht="15.5" x14ac:dyDescent="0.25">
      <c r="B82" s="253" t="s">
        <v>1151</v>
      </c>
      <c r="C82" s="248"/>
      <c r="D82" s="248"/>
      <c r="E82" s="248"/>
      <c r="F82" s="248"/>
      <c r="G82" s="249"/>
    </row>
    <row r="83" spans="2:7" ht="15.5" x14ac:dyDescent="0.25">
      <c r="B83" s="254" t="s">
        <v>1152</v>
      </c>
      <c r="C83" s="248"/>
      <c r="D83" s="248"/>
      <c r="E83" s="248"/>
      <c r="F83" s="248"/>
      <c r="G83" s="249"/>
    </row>
    <row r="84" spans="2:7" ht="13" x14ac:dyDescent="0.25">
      <c r="B84" s="251" t="s">
        <v>1146</v>
      </c>
      <c r="C84" s="248"/>
      <c r="D84" s="248"/>
      <c r="E84" s="248"/>
      <c r="F84" s="248"/>
      <c r="G84" s="249"/>
    </row>
    <row r="85" spans="2:7" x14ac:dyDescent="0.25">
      <c r="B85" s="250" t="s">
        <v>1153</v>
      </c>
      <c r="C85" s="248" t="s">
        <v>1148</v>
      </c>
      <c r="D85" s="248" t="s">
        <v>1149</v>
      </c>
      <c r="E85" s="252"/>
      <c r="F85" s="252"/>
      <c r="G85" s="249" t="s">
        <v>1144</v>
      </c>
    </row>
    <row r="86" spans="2:7" x14ac:dyDescent="0.25">
      <c r="B86" s="250" t="s">
        <v>1154</v>
      </c>
      <c r="C86" s="248" t="s">
        <v>1148</v>
      </c>
      <c r="D86" s="248" t="s">
        <v>1149</v>
      </c>
      <c r="E86" s="252"/>
      <c r="F86" s="252"/>
      <c r="G86" s="249" t="s">
        <v>1144</v>
      </c>
    </row>
    <row r="87" spans="2:7" x14ac:dyDescent="0.25">
      <c r="B87" s="250" t="s">
        <v>1155</v>
      </c>
      <c r="C87" s="248" t="s">
        <v>1148</v>
      </c>
      <c r="D87" s="248" t="s">
        <v>1149</v>
      </c>
      <c r="E87" s="252"/>
      <c r="F87" s="252"/>
      <c r="G87" s="249" t="s">
        <v>1144</v>
      </c>
    </row>
    <row r="88" spans="2:7" x14ac:dyDescent="0.25">
      <c r="B88" s="255"/>
      <c r="C88" s="248"/>
      <c r="D88" s="248"/>
      <c r="E88" s="248"/>
      <c r="F88" s="248"/>
      <c r="G88" s="249"/>
    </row>
    <row r="89" spans="2:7" ht="13" x14ac:dyDescent="0.25">
      <c r="B89" s="251" t="s">
        <v>1156</v>
      </c>
      <c r="C89" s="248"/>
      <c r="D89" s="248"/>
      <c r="E89" s="248"/>
      <c r="F89" s="248"/>
      <c r="G89" s="249"/>
    </row>
    <row r="90" spans="2:7" ht="13" x14ac:dyDescent="0.25">
      <c r="B90" s="251" t="s">
        <v>1146</v>
      </c>
      <c r="C90" s="248"/>
      <c r="D90" s="248"/>
      <c r="E90" s="248"/>
      <c r="F90" s="248"/>
      <c r="G90" s="249"/>
    </row>
    <row r="91" spans="2:7" x14ac:dyDescent="0.25">
      <c r="B91" s="250" t="s">
        <v>1153</v>
      </c>
      <c r="C91" s="248" t="s">
        <v>1148</v>
      </c>
      <c r="D91" s="248" t="s">
        <v>1149</v>
      </c>
      <c r="E91" s="252"/>
      <c r="F91" s="252"/>
      <c r="G91" s="249" t="s">
        <v>1144</v>
      </c>
    </row>
    <row r="92" spans="2:7" ht="13" thickBot="1" x14ac:dyDescent="0.3">
      <c r="B92" s="256" t="s">
        <v>1154</v>
      </c>
      <c r="C92" s="257" t="s">
        <v>1148</v>
      </c>
      <c r="D92" s="257" t="s">
        <v>1149</v>
      </c>
      <c r="E92" s="258"/>
      <c r="F92" s="258"/>
      <c r="G92" s="259" t="s">
        <v>1144</v>
      </c>
    </row>
  </sheetData>
  <mergeCells count="29">
    <mergeCell ref="B11:B12"/>
    <mergeCell ref="C29:I29"/>
    <mergeCell ref="C30:I30"/>
    <mergeCell ref="C31:I31"/>
    <mergeCell ref="B28:I28"/>
    <mergeCell ref="H52:I52"/>
    <mergeCell ref="H79:K79"/>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C5:D5"/>
    <mergeCell ref="C6:D6"/>
    <mergeCell ref="H49:I49"/>
    <mergeCell ref="H50:I50"/>
    <mergeCell ref="H51:I51"/>
    <mergeCell ref="D11:I11"/>
    <mergeCell ref="C32:I32"/>
    <mergeCell ref="C33:I33"/>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5E7A111-47B7-4D1E-B0C9-64185EC9A8D3}">
          <x14:formula1>
            <xm:f>Lookup!$A$2:$A$211</xm:f>
          </x14:formula1>
          <xm:sqref>C7:D7 C5</xm:sqref>
        </x14:dataValidation>
        <x14:dataValidation type="list" allowBlank="1" showInputMessage="1" showErrorMessage="1" xr:uid="{95025CC4-B0FA-45A1-A84A-39A1485D3332}">
          <x14:formula1>
            <xm:f>Lookup!$H$9:$H$11</xm:f>
          </x14:formula1>
          <xm:sqref>G77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AAADA-63C7-455D-BD39-C92236398F43}">
  <sheetPr>
    <tabColor rgb="FF00B0F0"/>
  </sheetPr>
  <dimension ref="A1:E62"/>
  <sheetViews>
    <sheetView workbookViewId="0">
      <selection activeCell="B10" sqref="B10"/>
    </sheetView>
  </sheetViews>
  <sheetFormatPr defaultColWidth="8.54296875" defaultRowHeight="14.5" x14ac:dyDescent="0.35"/>
  <cols>
    <col min="1" max="1" width="17.81640625" style="272" customWidth="1"/>
    <col min="2" max="2" width="37.54296875" style="272" customWidth="1"/>
    <col min="3" max="4" width="11.54296875" style="272" customWidth="1"/>
    <col min="5" max="5" width="13" style="272" customWidth="1"/>
    <col min="6" max="16384" width="8.54296875" style="272"/>
  </cols>
  <sheetData>
    <row r="1" spans="1:5" customFormat="1" ht="20" x14ac:dyDescent="0.25">
      <c r="A1" s="447" t="s">
        <v>1157</v>
      </c>
      <c r="B1" s="448"/>
      <c r="C1" s="128"/>
      <c r="D1" s="58"/>
      <c r="E1" s="58"/>
    </row>
    <row r="2" spans="1:5" customFormat="1" ht="12.75" customHeight="1" x14ac:dyDescent="0.25">
      <c r="B2" s="10"/>
      <c r="C2" s="11"/>
      <c r="D2" s="11"/>
    </row>
    <row r="3" spans="1:5" customFormat="1" ht="13" x14ac:dyDescent="0.25">
      <c r="A3" s="22" t="s">
        <v>16</v>
      </c>
      <c r="B3" s="449" t="str">
        <f>Summary!C5</f>
        <v>Select School Name</v>
      </c>
      <c r="C3" s="449"/>
      <c r="D3" s="148" t="s">
        <v>1082</v>
      </c>
      <c r="E3" s="127" t="str">
        <f>Summary!C6</f>
        <v>-</v>
      </c>
    </row>
    <row r="6" spans="1:5" x14ac:dyDescent="0.35">
      <c r="A6" s="273" t="s">
        <v>1158</v>
      </c>
      <c r="B6" s="274"/>
      <c r="C6" s="274"/>
      <c r="D6" s="274"/>
      <c r="E6" s="274"/>
    </row>
    <row r="23" spans="1:1" x14ac:dyDescent="0.35">
      <c r="A23" s="273" t="s">
        <v>1159</v>
      </c>
    </row>
    <row r="40" spans="1:1" x14ac:dyDescent="0.35">
      <c r="A40" s="273" t="s">
        <v>1160</v>
      </c>
    </row>
    <row r="57" spans="1:1" x14ac:dyDescent="0.35">
      <c r="A57" s="276" t="s">
        <v>1161</v>
      </c>
    </row>
    <row r="58" spans="1:1" x14ac:dyDescent="0.35">
      <c r="A58" s="277"/>
    </row>
    <row r="59" spans="1:1" x14ac:dyDescent="0.35">
      <c r="A59" s="277"/>
    </row>
    <row r="60" spans="1:1" x14ac:dyDescent="0.35">
      <c r="A60" s="275"/>
    </row>
    <row r="62" spans="1:1" x14ac:dyDescent="0.35">
      <c r="A62" s="276" t="s">
        <v>1162</v>
      </c>
    </row>
  </sheetData>
  <mergeCells count="2">
    <mergeCell ref="A1:B1"/>
    <mergeCell ref="B3:C3"/>
  </mergeCells>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6DB6-5435-4CBD-9212-9A2FFFF27B83}">
  <sheetPr>
    <tabColor rgb="FF00B0F0"/>
  </sheetPr>
  <dimension ref="A1:I7"/>
  <sheetViews>
    <sheetView zoomScale="85" zoomScaleNormal="85" workbookViewId="0">
      <selection activeCell="F7" sqref="F7"/>
    </sheetView>
  </sheetViews>
  <sheetFormatPr defaultRowHeight="12.5" x14ac:dyDescent="0.25"/>
  <cols>
    <col min="1" max="4" width="42.453125" customWidth="1"/>
    <col min="5" max="5" width="22.81640625" customWidth="1"/>
    <col min="6" max="6" width="42.453125" customWidth="1"/>
    <col min="7" max="7" width="22.81640625" customWidth="1"/>
    <col min="8" max="9" width="42.453125" customWidth="1"/>
  </cols>
  <sheetData>
    <row r="1" spans="1:9" ht="20" x14ac:dyDescent="0.25">
      <c r="A1" s="447" t="s">
        <v>1022</v>
      </c>
      <c r="B1" s="448"/>
      <c r="C1" s="128"/>
      <c r="D1" s="58"/>
      <c r="E1" s="58"/>
      <c r="F1" s="58"/>
      <c r="G1" s="58"/>
      <c r="H1" s="58"/>
      <c r="I1" s="58"/>
    </row>
    <row r="2" spans="1:9" ht="12.75" customHeight="1" x14ac:dyDescent="0.25">
      <c r="B2" s="10"/>
      <c r="C2" s="11"/>
      <c r="D2" s="11"/>
    </row>
    <row r="3" spans="1:9" ht="13" x14ac:dyDescent="0.25">
      <c r="A3" s="22" t="s">
        <v>16</v>
      </c>
      <c r="B3" s="449" t="str">
        <f>Summary!C5</f>
        <v>Select School Name</v>
      </c>
      <c r="C3" s="449"/>
      <c r="D3" s="148" t="s">
        <v>1082</v>
      </c>
      <c r="E3" s="127" t="str">
        <f>Summary!C6</f>
        <v>-</v>
      </c>
    </row>
    <row r="4" spans="1:9" ht="14.5" x14ac:dyDescent="0.25">
      <c r="A4" s="343"/>
      <c r="B4" s="343"/>
      <c r="C4" s="343"/>
      <c r="D4" s="343"/>
      <c r="E4" s="343"/>
      <c r="F4" s="343"/>
      <c r="G4" s="343"/>
      <c r="H4" s="343"/>
      <c r="I4" s="343"/>
    </row>
    <row r="5" spans="1:9" ht="14.5" x14ac:dyDescent="0.25">
      <c r="A5" s="343"/>
      <c r="B5" s="343"/>
      <c r="C5" s="343"/>
      <c r="D5" s="343"/>
      <c r="E5" s="343"/>
      <c r="F5" s="343"/>
      <c r="G5" s="343"/>
      <c r="H5" s="343"/>
      <c r="I5" s="343"/>
    </row>
    <row r="6" spans="1:9" ht="15" thickBot="1" x14ac:dyDescent="0.3">
      <c r="A6" s="343"/>
      <c r="B6" s="343"/>
      <c r="C6" s="343"/>
      <c r="D6" s="343"/>
      <c r="E6" s="343"/>
      <c r="F6" s="343"/>
      <c r="G6" s="343"/>
      <c r="H6" s="343"/>
      <c r="I6" s="343"/>
    </row>
    <row r="7" spans="1:9" ht="15" thickBot="1" x14ac:dyDescent="0.3">
      <c r="A7" s="348" t="s">
        <v>1163</v>
      </c>
      <c r="B7" s="349" t="s">
        <v>1164</v>
      </c>
      <c r="C7" s="349" t="s">
        <v>1165</v>
      </c>
      <c r="D7" s="349" t="s">
        <v>1166</v>
      </c>
      <c r="E7" s="349" t="s">
        <v>1167</v>
      </c>
      <c r="F7" s="349" t="s">
        <v>1168</v>
      </c>
      <c r="G7" s="349" t="s">
        <v>1169</v>
      </c>
      <c r="H7" s="349" t="s">
        <v>1170</v>
      </c>
      <c r="I7" s="350" t="s">
        <v>1160</v>
      </c>
    </row>
  </sheetData>
  <mergeCells count="2">
    <mergeCell ref="A1:B1"/>
    <mergeCell ref="B3:C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AA8E297-D724-4266-9415-847E4887972A}">
          <x14:formula1>
            <xm:f>Lookup!$J$3:$J$5</xm:f>
          </x14:formula1>
          <xm:sqref>G8:G36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B0F0"/>
  </sheetPr>
  <dimension ref="A1:O105"/>
  <sheetViews>
    <sheetView zoomScale="70" zoomScaleNormal="70" zoomScaleSheetLayoutView="75" workbookViewId="0">
      <pane xSplit="2" ySplit="6" topLeftCell="C27" activePane="bottomRight" state="frozen"/>
      <selection pane="topRight" activeCell="C1" sqref="C1"/>
      <selection pane="bottomLeft" activeCell="A7" sqref="A7"/>
      <selection pane="bottomRight" sqref="A1:B1"/>
    </sheetView>
  </sheetViews>
  <sheetFormatPr defaultColWidth="9.1796875" defaultRowHeight="12.75" customHeight="1" x14ac:dyDescent="0.25"/>
  <cols>
    <col min="1" max="1" width="22.1796875" customWidth="1"/>
    <col min="2" max="2" width="67.54296875" style="10" customWidth="1"/>
    <col min="3" max="3" width="13.453125" style="11" customWidth="1"/>
    <col min="4" max="4" width="12.1796875" style="11" customWidth="1"/>
    <col min="5" max="5" width="12.1796875" customWidth="1"/>
    <col min="6" max="6" width="15.81640625" customWidth="1"/>
    <col min="7" max="11" width="12.1796875" customWidth="1"/>
    <col min="12" max="12" width="41.453125" customWidth="1"/>
    <col min="13" max="14" width="41.453125" style="10" customWidth="1"/>
    <col min="15" max="15" width="13.1796875" style="12" customWidth="1"/>
  </cols>
  <sheetData>
    <row r="1" spans="1:15" ht="20" x14ac:dyDescent="0.25">
      <c r="A1" s="447" t="s">
        <v>1171</v>
      </c>
      <c r="B1" s="448"/>
      <c r="C1" s="128"/>
      <c r="D1" s="58"/>
      <c r="E1" s="58"/>
      <c r="F1" s="58"/>
      <c r="G1" s="58"/>
      <c r="H1" s="58"/>
      <c r="I1" s="58"/>
      <c r="J1" s="58"/>
      <c r="K1" s="58"/>
      <c r="L1" s="58"/>
      <c r="M1" s="58"/>
      <c r="N1" s="58"/>
      <c r="O1" s="58"/>
    </row>
    <row r="3" spans="1:15" ht="13" x14ac:dyDescent="0.25">
      <c r="A3" s="22" t="s">
        <v>16</v>
      </c>
      <c r="B3" s="449" t="str">
        <f>Summary!C5</f>
        <v>Select School Name</v>
      </c>
      <c r="C3" s="449"/>
      <c r="D3" s="148" t="s">
        <v>1082</v>
      </c>
      <c r="E3" s="127" t="str">
        <f>Summary!C6</f>
        <v>-</v>
      </c>
      <c r="M3"/>
      <c r="N3"/>
      <c r="O3"/>
    </row>
    <row r="4" spans="1:15" ht="15" customHeight="1" x14ac:dyDescent="0.25">
      <c r="G4" s="451" t="s">
        <v>1172</v>
      </c>
      <c r="H4" s="452"/>
      <c r="I4" s="453"/>
      <c r="J4" s="451" t="s">
        <v>1173</v>
      </c>
      <c r="K4" s="453"/>
      <c r="M4"/>
    </row>
    <row r="5" spans="1:15" ht="39" x14ac:dyDescent="0.25">
      <c r="A5" s="127" t="s">
        <v>1057</v>
      </c>
      <c r="B5" s="49" t="s">
        <v>1174</v>
      </c>
      <c r="C5" s="147" t="s">
        <v>1175</v>
      </c>
      <c r="D5" s="49" t="s">
        <v>1176</v>
      </c>
      <c r="E5" s="49" t="s">
        <v>1177</v>
      </c>
      <c r="F5" s="49" t="s">
        <v>1178</v>
      </c>
      <c r="G5" s="49" t="s">
        <v>1179</v>
      </c>
      <c r="H5" s="49" t="s">
        <v>1180</v>
      </c>
      <c r="I5" s="49" t="s">
        <v>1181</v>
      </c>
      <c r="J5" s="49" t="s">
        <v>1182</v>
      </c>
      <c r="K5" s="49" t="s">
        <v>1183</v>
      </c>
      <c r="L5" s="127" t="s">
        <v>1184</v>
      </c>
      <c r="M5" s="49" t="s">
        <v>1185</v>
      </c>
      <c r="N5" s="49" t="s">
        <v>1186</v>
      </c>
      <c r="O5" s="127" t="s">
        <v>1187</v>
      </c>
    </row>
    <row r="6" spans="1:15" ht="7.5" customHeight="1" x14ac:dyDescent="0.25">
      <c r="M6"/>
    </row>
    <row r="7" spans="1:15" ht="15" customHeight="1" x14ac:dyDescent="0.25">
      <c r="A7" s="449" t="s">
        <v>1188</v>
      </c>
      <c r="B7" s="449"/>
      <c r="M7"/>
    </row>
    <row r="8" spans="1:15" ht="15" customHeight="1" x14ac:dyDescent="0.25">
      <c r="A8" s="16" t="s">
        <v>102</v>
      </c>
      <c r="B8" s="15" t="s">
        <v>1189</v>
      </c>
      <c r="C8" s="180">
        <f>IFERROR(ROUND(VLOOKUP($E$3,'Outturn 2023-24 BY BCC FINAL'!$B:$CQ,24,FALSE),2),0)+IFERROR(ROUND(VLOOKUP($E$3,'Outturn 2023-24 BY BCC FINAL'!$B:$CQ,25,FALSE),2),0)</f>
        <v>0</v>
      </c>
      <c r="D8" s="236"/>
      <c r="E8" s="237"/>
      <c r="F8" s="237">
        <f>D8-E8</f>
        <v>0</v>
      </c>
      <c r="G8" s="237"/>
      <c r="H8" s="237"/>
      <c r="I8" s="237"/>
      <c r="J8" s="237"/>
      <c r="K8" s="237"/>
      <c r="L8" s="238"/>
      <c r="M8" s="238"/>
      <c r="N8" s="239"/>
      <c r="O8" s="240" t="s">
        <v>1190</v>
      </c>
    </row>
    <row r="9" spans="1:15" ht="15" customHeight="1" x14ac:dyDescent="0.25">
      <c r="A9" s="16" t="s">
        <v>103</v>
      </c>
      <c r="B9" s="15" t="s">
        <v>1191</v>
      </c>
      <c r="C9" s="180"/>
      <c r="D9" s="236"/>
      <c r="E9" s="237"/>
      <c r="F9" s="237">
        <f t="shared" ref="F9:F12" si="0">D9-E9</f>
        <v>0</v>
      </c>
      <c r="G9" s="237"/>
      <c r="H9" s="237"/>
      <c r="I9" s="237"/>
      <c r="J9" s="237"/>
      <c r="K9" s="237"/>
      <c r="L9" s="238"/>
      <c r="M9" s="238"/>
      <c r="N9" s="239"/>
      <c r="O9" s="240" t="s">
        <v>1190</v>
      </c>
    </row>
    <row r="10" spans="1:15" ht="15" customHeight="1" x14ac:dyDescent="0.25">
      <c r="A10" s="16" t="s">
        <v>104</v>
      </c>
      <c r="B10" s="15" t="s">
        <v>1192</v>
      </c>
      <c r="C10" s="180">
        <f>IFERROR(ROUND(VLOOKUP($E$3,'Outturn 2023-24 BY BCC FINAL'!$B:$CO,26,FALSE),2),0)</f>
        <v>0</v>
      </c>
      <c r="D10" s="236"/>
      <c r="E10" s="237"/>
      <c r="F10" s="237">
        <f t="shared" si="0"/>
        <v>0</v>
      </c>
      <c r="G10" s="237"/>
      <c r="H10" s="237"/>
      <c r="I10" s="237"/>
      <c r="J10" s="237"/>
      <c r="K10" s="237"/>
      <c r="L10" s="238"/>
      <c r="M10" s="238"/>
      <c r="N10" s="239"/>
      <c r="O10" s="240" t="s">
        <v>1190</v>
      </c>
    </row>
    <row r="11" spans="1:15" ht="15" customHeight="1" x14ac:dyDescent="0.25">
      <c r="A11" s="16" t="s">
        <v>105</v>
      </c>
      <c r="B11" s="15" t="s">
        <v>1193</v>
      </c>
      <c r="C11" s="180"/>
      <c r="D11" s="236"/>
      <c r="E11" s="237"/>
      <c r="F11" s="237">
        <f t="shared" si="0"/>
        <v>0</v>
      </c>
      <c r="G11" s="237"/>
      <c r="H11" s="237"/>
      <c r="I11" s="237"/>
      <c r="J11" s="237"/>
      <c r="K11" s="237"/>
      <c r="L11" s="238"/>
      <c r="M11" s="238"/>
      <c r="N11" s="239"/>
      <c r="O11" s="240" t="s">
        <v>1190</v>
      </c>
    </row>
    <row r="12" spans="1:15" ht="15" customHeight="1" x14ac:dyDescent="0.25">
      <c r="A12" s="16" t="s">
        <v>106</v>
      </c>
      <c r="B12" s="2" t="s">
        <v>1194</v>
      </c>
      <c r="C12" s="180"/>
      <c r="D12" s="236"/>
      <c r="E12" s="237"/>
      <c r="F12" s="237">
        <f t="shared" si="0"/>
        <v>0</v>
      </c>
      <c r="G12" s="237"/>
      <c r="H12" s="237"/>
      <c r="I12" s="237"/>
      <c r="J12" s="237"/>
      <c r="K12" s="237"/>
      <c r="L12" s="238"/>
      <c r="M12" s="238"/>
      <c r="N12" s="239"/>
      <c r="O12" s="240" t="s">
        <v>1190</v>
      </c>
    </row>
    <row r="13" spans="1:15" ht="15" customHeight="1" x14ac:dyDescent="0.25">
      <c r="A13" s="450" t="s">
        <v>1195</v>
      </c>
      <c r="B13" s="450"/>
      <c r="C13" s="146">
        <f t="shared" ref="C13:K13" si="1">SUM(C8:C12)</f>
        <v>0</v>
      </c>
      <c r="D13" s="146">
        <f t="shared" si="1"/>
        <v>0</v>
      </c>
      <c r="E13" s="146">
        <f t="shared" si="1"/>
        <v>0</v>
      </c>
      <c r="F13" s="146">
        <f t="shared" si="1"/>
        <v>0</v>
      </c>
      <c r="G13" s="146">
        <f t="shared" si="1"/>
        <v>0</v>
      </c>
      <c r="H13" s="146">
        <f t="shared" si="1"/>
        <v>0</v>
      </c>
      <c r="I13" s="146">
        <f t="shared" si="1"/>
        <v>0</v>
      </c>
      <c r="J13" s="146">
        <f t="shared" si="1"/>
        <v>0</v>
      </c>
      <c r="K13" s="146">
        <f t="shared" si="1"/>
        <v>0</v>
      </c>
      <c r="L13" s="4"/>
      <c r="M13" s="5"/>
      <c r="N13" s="5"/>
      <c r="O13" s="6"/>
    </row>
    <row r="14" spans="1:15" ht="6" customHeight="1" x14ac:dyDescent="0.25">
      <c r="C14" s="168"/>
      <c r="D14" s="168"/>
      <c r="E14" s="169"/>
      <c r="F14" s="169"/>
      <c r="G14" s="169"/>
      <c r="H14" s="169"/>
      <c r="I14" s="169"/>
      <c r="J14" s="169"/>
      <c r="K14" s="169"/>
      <c r="M14"/>
    </row>
    <row r="15" spans="1:15" ht="15" customHeight="1" x14ac:dyDescent="0.25">
      <c r="A15" s="449" t="s">
        <v>1125</v>
      </c>
      <c r="B15" s="449"/>
      <c r="C15" s="170"/>
      <c r="D15" s="170"/>
      <c r="E15" s="454"/>
      <c r="F15" s="454"/>
      <c r="G15" s="454"/>
      <c r="H15" s="454"/>
      <c r="I15" s="454"/>
      <c r="J15" s="454"/>
      <c r="K15" s="454"/>
      <c r="L15" s="8"/>
      <c r="M15" s="9"/>
      <c r="N15" s="9"/>
      <c r="O15" s="8"/>
    </row>
    <row r="16" spans="1:15" ht="15" customHeight="1" x14ac:dyDescent="0.25">
      <c r="A16" s="1" t="s">
        <v>40</v>
      </c>
      <c r="B16" s="2" t="s">
        <v>1196</v>
      </c>
      <c r="C16" s="180">
        <f>IFERROR(ROUND(VLOOKUP($E$3,'Outturn 2023-24 BY BCC FINAL'!$B:$CO,27,FALSE),2),0)</f>
        <v>0</v>
      </c>
      <c r="D16" s="236"/>
      <c r="E16" s="237"/>
      <c r="F16" s="237"/>
      <c r="G16" s="237"/>
      <c r="H16" s="237"/>
      <c r="I16" s="237"/>
      <c r="J16" s="237"/>
      <c r="K16" s="237"/>
      <c r="L16" s="241"/>
      <c r="M16" s="242"/>
      <c r="N16" s="242"/>
      <c r="O16" s="240" t="s">
        <v>1190</v>
      </c>
    </row>
    <row r="17" spans="1:15" ht="15" customHeight="1" x14ac:dyDescent="0.25">
      <c r="A17" s="1" t="s">
        <v>41</v>
      </c>
      <c r="B17" s="2" t="s">
        <v>1197</v>
      </c>
      <c r="C17" s="180">
        <f>IFERROR(ROUND(VLOOKUP($E$3,'Outturn 2023-24 BY BCC FINAL'!$B:$CO,28,FALSE),2),0)</f>
        <v>0</v>
      </c>
      <c r="D17" s="236"/>
      <c r="E17" s="237"/>
      <c r="F17" s="237"/>
      <c r="G17" s="237"/>
      <c r="H17" s="237"/>
      <c r="I17" s="237"/>
      <c r="J17" s="237"/>
      <c r="K17" s="237"/>
      <c r="L17" s="242"/>
      <c r="M17" s="242"/>
      <c r="N17" s="242"/>
      <c r="O17" s="240" t="s">
        <v>1190</v>
      </c>
    </row>
    <row r="18" spans="1:15" ht="15" customHeight="1" x14ac:dyDescent="0.25">
      <c r="A18" s="1" t="s">
        <v>42</v>
      </c>
      <c r="B18" s="2" t="s">
        <v>1198</v>
      </c>
      <c r="C18" s="180">
        <f>IFERROR(ROUND(VLOOKUP($E$3,'Outturn 2023-24 BY BCC FINAL'!$B:$CO,29,FALSE),2),0)</f>
        <v>0</v>
      </c>
      <c r="D18" s="236"/>
      <c r="E18" s="237"/>
      <c r="F18" s="237"/>
      <c r="G18" s="237"/>
      <c r="H18" s="237"/>
      <c r="I18" s="237"/>
      <c r="J18" s="237"/>
      <c r="K18" s="237"/>
      <c r="L18" s="242"/>
      <c r="M18" s="242"/>
      <c r="N18" s="242"/>
      <c r="O18" s="240" t="s">
        <v>1190</v>
      </c>
    </row>
    <row r="19" spans="1:15" ht="15" customHeight="1" x14ac:dyDescent="0.25">
      <c r="A19" s="1" t="s">
        <v>43</v>
      </c>
      <c r="B19" s="2" t="s">
        <v>1199</v>
      </c>
      <c r="C19" s="180">
        <f>IFERROR(ROUND(VLOOKUP($E$3,'Outturn 2023-24 BY BCC FINAL'!$B:$CO,30,FALSE),2),0)</f>
        <v>0</v>
      </c>
      <c r="D19" s="236"/>
      <c r="E19" s="237"/>
      <c r="F19" s="237"/>
      <c r="G19" s="237"/>
      <c r="H19" s="237"/>
      <c r="I19" s="237"/>
      <c r="J19" s="237"/>
      <c r="K19" s="237"/>
      <c r="L19" s="241"/>
      <c r="M19" s="242"/>
      <c r="N19" s="242"/>
      <c r="O19" s="240" t="s">
        <v>1190</v>
      </c>
    </row>
    <row r="20" spans="1:15" ht="15" customHeight="1" x14ac:dyDescent="0.25">
      <c r="A20" s="1" t="s">
        <v>44</v>
      </c>
      <c r="B20" s="2" t="s">
        <v>1200</v>
      </c>
      <c r="C20" s="180">
        <f>IFERROR(ROUND(VLOOKUP($E$3,'Outturn 2023-24 BY BCC FINAL'!$B:$CO,31,FALSE),2),0)</f>
        <v>0</v>
      </c>
      <c r="D20" s="236"/>
      <c r="E20" s="237"/>
      <c r="F20" s="237"/>
      <c r="G20" s="237"/>
      <c r="H20" s="237"/>
      <c r="I20" s="237"/>
      <c r="J20" s="237"/>
      <c r="K20" s="237"/>
      <c r="L20" s="242"/>
      <c r="M20" s="242"/>
      <c r="N20" s="242"/>
      <c r="O20" s="240" t="s">
        <v>1190</v>
      </c>
    </row>
    <row r="21" spans="1:15" ht="15" customHeight="1" x14ac:dyDescent="0.25">
      <c r="A21" s="1" t="s">
        <v>45</v>
      </c>
      <c r="B21" s="2" t="s">
        <v>1201</v>
      </c>
      <c r="C21" s="180">
        <f>IFERROR(ROUND(VLOOKUP($E$3,'Outturn 2023-24 BY BCC FINAL'!$B:$CO,32,FALSE),2),0)</f>
        <v>0</v>
      </c>
      <c r="D21" s="236"/>
      <c r="E21" s="237"/>
      <c r="F21" s="237"/>
      <c r="G21" s="237"/>
      <c r="H21" s="237"/>
      <c r="I21" s="237"/>
      <c r="J21" s="237"/>
      <c r="K21" s="237"/>
      <c r="L21" s="242"/>
      <c r="M21" s="239"/>
      <c r="N21" s="242"/>
      <c r="O21" s="240" t="s">
        <v>1190</v>
      </c>
    </row>
    <row r="22" spans="1:15" ht="15" customHeight="1" x14ac:dyDescent="0.25">
      <c r="A22" s="1" t="s">
        <v>46</v>
      </c>
      <c r="B22" s="2" t="s">
        <v>1202</v>
      </c>
      <c r="C22" s="180">
        <f>IFERROR(ROUND(VLOOKUP($E$3,'Outturn 2023-24 BY BCC FINAL'!$B:$CO,33,FALSE),2),0)</f>
        <v>0</v>
      </c>
      <c r="D22" s="236"/>
      <c r="E22" s="237"/>
      <c r="F22" s="237"/>
      <c r="G22" s="237"/>
      <c r="H22" s="237"/>
      <c r="I22" s="237"/>
      <c r="J22" s="237"/>
      <c r="K22" s="237"/>
      <c r="L22" s="241"/>
      <c r="M22" s="242"/>
      <c r="N22" s="242"/>
      <c r="O22" s="240" t="s">
        <v>1190</v>
      </c>
    </row>
    <row r="23" spans="1:15" ht="15" customHeight="1" x14ac:dyDescent="0.25">
      <c r="A23" s="1" t="s">
        <v>47</v>
      </c>
      <c r="B23" s="2" t="s">
        <v>1203</v>
      </c>
      <c r="C23" s="180">
        <f>IFERROR(ROUND(VLOOKUP($E$3,'Outturn 2023-24 BY BCC FINAL'!$B:$CO,34,FALSE),2),0)</f>
        <v>0</v>
      </c>
      <c r="D23" s="236"/>
      <c r="E23" s="237"/>
      <c r="F23" s="237"/>
      <c r="G23" s="237"/>
      <c r="H23" s="237"/>
      <c r="I23" s="237"/>
      <c r="J23" s="237"/>
      <c r="K23" s="237"/>
      <c r="L23" s="241"/>
      <c r="M23" s="242"/>
      <c r="N23" s="242"/>
      <c r="O23" s="240" t="s">
        <v>1190</v>
      </c>
    </row>
    <row r="24" spans="1:15" ht="15" customHeight="1" x14ac:dyDescent="0.25">
      <c r="A24" s="1" t="s">
        <v>48</v>
      </c>
      <c r="B24" s="2" t="s">
        <v>1204</v>
      </c>
      <c r="C24" s="180">
        <f>IFERROR(ROUND(VLOOKUP($E$3,'Outturn 2023-24 BY BCC FINAL'!$B:$CO,35,FALSE),2),0)</f>
        <v>0</v>
      </c>
      <c r="D24" s="236"/>
      <c r="E24" s="237"/>
      <c r="F24" s="237"/>
      <c r="G24" s="237"/>
      <c r="H24" s="237"/>
      <c r="I24" s="237"/>
      <c r="J24" s="237"/>
      <c r="K24" s="237"/>
      <c r="L24" s="242"/>
      <c r="M24" s="242"/>
      <c r="N24" s="242"/>
      <c r="O24" s="240" t="s">
        <v>1190</v>
      </c>
    </row>
    <row r="25" spans="1:15" ht="15" customHeight="1" x14ac:dyDescent="0.25">
      <c r="A25" s="1" t="s">
        <v>49</v>
      </c>
      <c r="B25" s="2" t="s">
        <v>1205</v>
      </c>
      <c r="C25" s="180">
        <f>IFERROR(ROUND(VLOOKUP($E$3,'Outturn 2023-24 BY BCC FINAL'!$B:$CO,36,FALSE),2),0)</f>
        <v>0</v>
      </c>
      <c r="D25" s="236"/>
      <c r="E25" s="237"/>
      <c r="F25" s="237"/>
      <c r="G25" s="237"/>
      <c r="H25" s="237"/>
      <c r="I25" s="237"/>
      <c r="J25" s="237"/>
      <c r="K25" s="237"/>
      <c r="L25" s="242"/>
      <c r="M25" s="239"/>
      <c r="N25" s="239"/>
      <c r="O25" s="240" t="s">
        <v>1190</v>
      </c>
    </row>
    <row r="26" spans="1:15" ht="15" customHeight="1" x14ac:dyDescent="0.25">
      <c r="A26" s="1" t="s">
        <v>50</v>
      </c>
      <c r="B26" s="2" t="s">
        <v>1206</v>
      </c>
      <c r="C26" s="180">
        <f>IFERROR(ROUND(VLOOKUP($E$3,'Outturn 2023-24 BY BCC FINAL'!$B:$CO,37,FALSE),2),0)</f>
        <v>0</v>
      </c>
      <c r="D26" s="236"/>
      <c r="E26" s="237"/>
      <c r="F26" s="237"/>
      <c r="G26" s="237"/>
      <c r="H26" s="237"/>
      <c r="I26" s="237"/>
      <c r="J26" s="237"/>
      <c r="K26" s="237"/>
      <c r="L26" s="242"/>
      <c r="M26" s="239"/>
      <c r="N26" s="239"/>
      <c r="O26" s="240" t="s">
        <v>1190</v>
      </c>
    </row>
    <row r="27" spans="1:15" ht="15" customHeight="1" x14ac:dyDescent="0.25">
      <c r="A27" s="1" t="s">
        <v>51</v>
      </c>
      <c r="B27" s="2" t="s">
        <v>1207</v>
      </c>
      <c r="C27" s="180">
        <f>IFERROR(ROUND(VLOOKUP($E$3,'Outturn 2023-24 BY BCC FINAL'!$B:$CO,38,FALSE),2),0)</f>
        <v>0</v>
      </c>
      <c r="D27" s="236"/>
      <c r="E27" s="237"/>
      <c r="F27" s="237"/>
      <c r="G27" s="237"/>
      <c r="H27" s="237"/>
      <c r="I27" s="237"/>
      <c r="J27" s="237"/>
      <c r="K27" s="237"/>
      <c r="L27" s="241"/>
      <c r="M27" s="239"/>
      <c r="N27" s="239"/>
      <c r="O27" s="240" t="s">
        <v>1190</v>
      </c>
    </row>
    <row r="28" spans="1:15" ht="15" customHeight="1" x14ac:dyDescent="0.25">
      <c r="A28" s="1" t="s">
        <v>52</v>
      </c>
      <c r="B28" s="2" t="s">
        <v>1208</v>
      </c>
      <c r="C28" s="180">
        <f>IFERROR(ROUND(VLOOKUP($E$3,'Outturn 2023-24 BY BCC FINAL'!$B:$CO,39,FALSE),2),0)</f>
        <v>0</v>
      </c>
      <c r="D28" s="236"/>
      <c r="E28" s="237"/>
      <c r="F28" s="237"/>
      <c r="G28" s="237"/>
      <c r="H28" s="237"/>
      <c r="I28" s="237"/>
      <c r="J28" s="237"/>
      <c r="K28" s="237"/>
      <c r="L28" s="241"/>
      <c r="M28" s="239"/>
      <c r="N28" s="239"/>
      <c r="O28" s="240" t="s">
        <v>1190</v>
      </c>
    </row>
    <row r="29" spans="1:15" ht="15" customHeight="1" x14ac:dyDescent="0.25">
      <c r="A29" s="1" t="s">
        <v>53</v>
      </c>
      <c r="B29" s="2" t="s">
        <v>1209</v>
      </c>
      <c r="C29" s="180">
        <f>IFERROR(ROUND(VLOOKUP($E$3,'Outturn 2023-24 BY BCC FINAL'!$B:$CO,40,FALSE),2),0)</f>
        <v>0</v>
      </c>
      <c r="D29" s="236"/>
      <c r="E29" s="237"/>
      <c r="F29" s="237"/>
      <c r="G29" s="237"/>
      <c r="H29" s="237"/>
      <c r="I29" s="237"/>
      <c r="J29" s="237"/>
      <c r="K29" s="237"/>
      <c r="L29" s="242"/>
      <c r="M29" s="239"/>
      <c r="N29" s="239"/>
      <c r="O29" s="240" t="s">
        <v>1190</v>
      </c>
    </row>
    <row r="30" spans="1:15" ht="15" customHeight="1" x14ac:dyDescent="0.25">
      <c r="A30" s="1" t="s">
        <v>54</v>
      </c>
      <c r="B30" s="2" t="s">
        <v>1210</v>
      </c>
      <c r="C30" s="180">
        <f>IFERROR(ROUND(VLOOKUP($E$3,'Outturn 2023-24 BY BCC FINAL'!$B:$CO,41,FALSE),2),0)</f>
        <v>0</v>
      </c>
      <c r="D30" s="236"/>
      <c r="E30" s="237"/>
      <c r="F30" s="237"/>
      <c r="G30" s="237"/>
      <c r="H30" s="237"/>
      <c r="I30" s="237"/>
      <c r="J30" s="237"/>
      <c r="K30" s="237"/>
      <c r="L30" s="241"/>
      <c r="M30" s="242"/>
      <c r="N30" s="242"/>
      <c r="O30" s="240" t="s">
        <v>1190</v>
      </c>
    </row>
    <row r="31" spans="1:15" ht="15" customHeight="1" x14ac:dyDescent="0.25">
      <c r="A31" s="1" t="s">
        <v>55</v>
      </c>
      <c r="B31" s="2" t="s">
        <v>1211</v>
      </c>
      <c r="C31" s="180">
        <f>IFERROR(ROUND(VLOOKUP($E$3,'Outturn 2023-24 BY BCC FINAL'!$B:$CO,42,FALSE),2),0)</f>
        <v>0</v>
      </c>
      <c r="D31" s="236"/>
      <c r="E31" s="237"/>
      <c r="F31" s="237"/>
      <c r="G31" s="237"/>
      <c r="H31" s="237"/>
      <c r="I31" s="237"/>
      <c r="J31" s="237"/>
      <c r="K31" s="237"/>
      <c r="L31" s="241"/>
      <c r="M31" s="242"/>
      <c r="N31" s="242"/>
      <c r="O31" s="240" t="s">
        <v>1190</v>
      </c>
    </row>
    <row r="32" spans="1:15" ht="15" customHeight="1" x14ac:dyDescent="0.25">
      <c r="A32" s="1" t="s">
        <v>56</v>
      </c>
      <c r="B32" s="2" t="s">
        <v>1212</v>
      </c>
      <c r="C32" s="180">
        <f>IFERROR(ROUND(VLOOKUP($E$3,'Outturn 2023-24 BY BCC FINAL'!$B:$CO,43,FALSE),2),0)</f>
        <v>0</v>
      </c>
      <c r="D32" s="236"/>
      <c r="E32" s="237"/>
      <c r="F32" s="237"/>
      <c r="G32" s="237"/>
      <c r="H32" s="237"/>
      <c r="I32" s="237"/>
      <c r="J32" s="237"/>
      <c r="K32" s="237"/>
      <c r="L32" s="241"/>
      <c r="M32" s="242"/>
      <c r="N32" s="242"/>
      <c r="O32" s="240" t="s">
        <v>1190</v>
      </c>
    </row>
    <row r="33" spans="1:15" ht="15" customHeight="1" x14ac:dyDescent="0.25">
      <c r="A33" s="1" t="s">
        <v>1213</v>
      </c>
      <c r="B33" s="2" t="s">
        <v>1214</v>
      </c>
      <c r="C33" s="180">
        <f>IFERROR(ROUND(VLOOKUP($E$3,'Outturn 2023-24 BY BCC FINAL'!$B:$CO,44,FALSE),2),0)</f>
        <v>0</v>
      </c>
      <c r="D33" s="236"/>
      <c r="E33" s="237"/>
      <c r="F33" s="237"/>
      <c r="G33" s="237"/>
      <c r="H33" s="237"/>
      <c r="I33" s="237"/>
      <c r="J33" s="237"/>
      <c r="K33" s="237"/>
      <c r="L33" s="241"/>
      <c r="M33" s="242"/>
      <c r="N33" s="242"/>
      <c r="O33" s="240" t="s">
        <v>1190</v>
      </c>
    </row>
    <row r="34" spans="1:15" ht="15" customHeight="1" x14ac:dyDescent="0.25">
      <c r="A34" s="1" t="s">
        <v>1215</v>
      </c>
      <c r="B34" s="2" t="s">
        <v>1216</v>
      </c>
      <c r="C34" s="180">
        <f>IFERROR(ROUND(VLOOKUP($E$3,'Outturn 2023-24 BY BCC FINAL'!$B:$CO,45,FALSE),2),0)</f>
        <v>0</v>
      </c>
      <c r="D34" s="236"/>
      <c r="E34" s="237"/>
      <c r="F34" s="237"/>
      <c r="G34" s="237"/>
      <c r="H34" s="237"/>
      <c r="I34" s="237"/>
      <c r="J34" s="237"/>
      <c r="K34" s="237"/>
      <c r="L34" s="241"/>
      <c r="M34" s="242"/>
      <c r="N34" s="242"/>
      <c r="O34" s="240" t="s">
        <v>1190</v>
      </c>
    </row>
    <row r="35" spans="1:15" ht="15" customHeight="1" x14ac:dyDescent="0.25">
      <c r="A35" s="1" t="s">
        <v>1217</v>
      </c>
      <c r="B35" s="2" t="s">
        <v>1218</v>
      </c>
      <c r="C35" s="180">
        <f>IFERROR(ROUND(VLOOKUP($E$3,'Outturn 2023-24 BY BCC FINAL'!$B:$CO,46,FALSE),2),0)</f>
        <v>0</v>
      </c>
      <c r="D35" s="236"/>
      <c r="E35" s="237"/>
      <c r="F35" s="237"/>
      <c r="G35" s="237"/>
      <c r="H35" s="237"/>
      <c r="I35" s="237"/>
      <c r="J35" s="237"/>
      <c r="K35" s="237"/>
      <c r="L35" s="241"/>
      <c r="M35" s="242"/>
      <c r="N35" s="242"/>
      <c r="O35" s="240" t="s">
        <v>1190</v>
      </c>
    </row>
    <row r="36" spans="1:15" ht="15" customHeight="1" x14ac:dyDescent="0.25">
      <c r="A36" s="1" t="s">
        <v>1219</v>
      </c>
      <c r="B36" s="2" t="s">
        <v>1220</v>
      </c>
      <c r="C36" s="180">
        <f>IFERROR(ROUND(VLOOKUP($E$3,'Outturn 2023-24 BY BCC FINAL'!$B:$CO,47,FALSE),2),0)</f>
        <v>0</v>
      </c>
      <c r="D36" s="236"/>
      <c r="E36" s="237"/>
      <c r="F36" s="237"/>
      <c r="G36" s="237"/>
      <c r="H36" s="237"/>
      <c r="I36" s="237"/>
      <c r="J36" s="237"/>
      <c r="K36" s="237"/>
      <c r="L36" s="241"/>
      <c r="M36" s="242"/>
      <c r="N36" s="242"/>
      <c r="O36" s="240" t="s">
        <v>1190</v>
      </c>
    </row>
    <row r="37" spans="1:15" ht="15" customHeight="1" x14ac:dyDescent="0.25">
      <c r="A37" s="450" t="s">
        <v>1221</v>
      </c>
      <c r="B37" s="450"/>
      <c r="C37" s="146">
        <f t="shared" ref="C37:K37" si="2">SUM(C16:C36)</f>
        <v>0</v>
      </c>
      <c r="D37" s="146">
        <f t="shared" si="2"/>
        <v>0</v>
      </c>
      <c r="E37" s="146">
        <f t="shared" si="2"/>
        <v>0</v>
      </c>
      <c r="F37" s="146">
        <f t="shared" si="2"/>
        <v>0</v>
      </c>
      <c r="G37" s="146">
        <f t="shared" si="2"/>
        <v>0</v>
      </c>
      <c r="H37" s="146">
        <f t="shared" si="2"/>
        <v>0</v>
      </c>
      <c r="I37" s="146">
        <f t="shared" si="2"/>
        <v>0</v>
      </c>
      <c r="J37" s="146">
        <f t="shared" si="2"/>
        <v>0</v>
      </c>
      <c r="K37" s="146">
        <f t="shared" si="2"/>
        <v>0</v>
      </c>
      <c r="L37" s="4"/>
      <c r="M37" s="5"/>
      <c r="N37" s="5"/>
      <c r="O37" s="6"/>
    </row>
    <row r="38" spans="1:15" ht="6.75" customHeight="1" x14ac:dyDescent="0.25">
      <c r="C38" s="168"/>
      <c r="D38" s="168"/>
      <c r="E38" s="169"/>
      <c r="F38" s="169"/>
      <c r="G38" s="169"/>
      <c r="H38" s="169"/>
      <c r="I38" s="169"/>
      <c r="J38" s="169"/>
      <c r="K38" s="169"/>
    </row>
    <row r="39" spans="1:15" ht="12.75" hidden="1" customHeight="1" x14ac:dyDescent="0.25">
      <c r="C39" s="168"/>
      <c r="D39" s="168"/>
      <c r="E39" s="169"/>
      <c r="F39" s="169"/>
      <c r="G39" s="169"/>
      <c r="H39" s="169"/>
      <c r="I39" s="169"/>
      <c r="J39" s="169"/>
      <c r="K39" s="169"/>
    </row>
    <row r="40" spans="1:15" ht="13.5" customHeight="1" x14ac:dyDescent="0.25">
      <c r="A40" s="14" t="s">
        <v>1094</v>
      </c>
      <c r="B40" s="3"/>
      <c r="C40" s="170"/>
      <c r="D40" s="170"/>
      <c r="E40" s="454"/>
      <c r="F40" s="454"/>
      <c r="G40" s="454"/>
      <c r="H40" s="454"/>
      <c r="I40" s="454"/>
      <c r="J40" s="454"/>
      <c r="K40" s="454"/>
      <c r="L40" s="8"/>
      <c r="M40" s="9"/>
      <c r="N40" s="9"/>
      <c r="O40" s="9"/>
    </row>
    <row r="41" spans="1:15" ht="15" customHeight="1" x14ac:dyDescent="0.25">
      <c r="A41" s="1" t="s">
        <v>61</v>
      </c>
      <c r="B41" s="2" t="s">
        <v>1113</v>
      </c>
      <c r="C41" s="235">
        <f>IFERROR(ROUND(VLOOKUP($E$3,'Outturn 2023-24 BY BCC FINAL'!$B:$CO,48,FALSE),2),0)</f>
        <v>0</v>
      </c>
      <c r="D41" s="236"/>
      <c r="E41" s="237"/>
      <c r="F41" s="237"/>
      <c r="G41" s="237"/>
      <c r="H41" s="237"/>
      <c r="I41" s="237"/>
      <c r="J41" s="237"/>
      <c r="K41" s="237"/>
      <c r="L41" s="242"/>
      <c r="M41" s="242"/>
      <c r="N41" s="242"/>
      <c r="O41" s="240" t="s">
        <v>1190</v>
      </c>
    </row>
    <row r="42" spans="1:15" ht="15" customHeight="1" x14ac:dyDescent="0.25">
      <c r="A42" s="1" t="s">
        <v>62</v>
      </c>
      <c r="B42" s="2" t="s">
        <v>1222</v>
      </c>
      <c r="C42" s="235">
        <f>IFERROR(ROUND(VLOOKUP($E$3,'Outturn 2023-24 BY BCC FINAL'!$B:$CO,49,FALSE),2),0)</f>
        <v>0</v>
      </c>
      <c r="D42" s="236"/>
      <c r="E42" s="237"/>
      <c r="F42" s="237"/>
      <c r="G42" s="237"/>
      <c r="H42" s="237"/>
      <c r="I42" s="237"/>
      <c r="J42" s="237"/>
      <c r="K42" s="237"/>
      <c r="L42" s="242"/>
      <c r="M42" s="242"/>
      <c r="N42" s="242"/>
      <c r="O42" s="240" t="s">
        <v>1190</v>
      </c>
    </row>
    <row r="43" spans="1:15" ht="15" customHeight="1" x14ac:dyDescent="0.25">
      <c r="A43" s="1" t="s">
        <v>63</v>
      </c>
      <c r="B43" s="2" t="s">
        <v>1223</v>
      </c>
      <c r="C43" s="235">
        <f>IFERROR(ROUND(VLOOKUP($E$3,'Outturn 2023-24 BY BCC FINAL'!$B:$CO,50,FALSE),2),0)</f>
        <v>0</v>
      </c>
      <c r="D43" s="236"/>
      <c r="E43" s="237"/>
      <c r="F43" s="237"/>
      <c r="G43" s="237"/>
      <c r="H43" s="237"/>
      <c r="I43" s="237"/>
      <c r="J43" s="237"/>
      <c r="K43" s="237"/>
      <c r="L43" s="242"/>
      <c r="M43" s="242"/>
      <c r="N43" s="242"/>
      <c r="O43" s="240" t="s">
        <v>1190</v>
      </c>
    </row>
    <row r="44" spans="1:15" ht="15" customHeight="1" x14ac:dyDescent="0.25">
      <c r="A44" s="1" t="s">
        <v>64</v>
      </c>
      <c r="B44" s="2" t="s">
        <v>1224</v>
      </c>
      <c r="C44" s="235">
        <f>IFERROR(ROUND(VLOOKUP($E$3,'Outturn 2023-24 BY BCC FINAL'!$B:$CO,51,FALSE),2),0)</f>
        <v>0</v>
      </c>
      <c r="D44" s="236"/>
      <c r="E44" s="237"/>
      <c r="F44" s="237"/>
      <c r="G44" s="237"/>
      <c r="H44" s="237"/>
      <c r="I44" s="237"/>
      <c r="J44" s="237"/>
      <c r="K44" s="237"/>
      <c r="L44" s="242"/>
      <c r="M44" s="242"/>
      <c r="N44" s="242"/>
      <c r="O44" s="240" t="s">
        <v>1190</v>
      </c>
    </row>
    <row r="45" spans="1:15" ht="15" customHeight="1" x14ac:dyDescent="0.25">
      <c r="A45" s="1" t="s">
        <v>65</v>
      </c>
      <c r="B45" s="2" t="s">
        <v>1225</v>
      </c>
      <c r="C45" s="235">
        <f>IFERROR(ROUND(VLOOKUP($E$3,'Outturn 2023-24 BY BCC FINAL'!$B:$CO,52,FALSE),2),0)</f>
        <v>0</v>
      </c>
      <c r="D45" s="236"/>
      <c r="E45" s="237"/>
      <c r="F45" s="237"/>
      <c r="G45" s="237"/>
      <c r="H45" s="237"/>
      <c r="I45" s="237"/>
      <c r="J45" s="237"/>
      <c r="K45" s="237"/>
      <c r="L45" s="242"/>
      <c r="M45" s="242"/>
      <c r="N45" s="242"/>
      <c r="O45" s="240" t="s">
        <v>1190</v>
      </c>
    </row>
    <row r="46" spans="1:15" ht="15" customHeight="1" x14ac:dyDescent="0.25">
      <c r="A46" s="1" t="s">
        <v>66</v>
      </c>
      <c r="B46" s="2" t="s">
        <v>1119</v>
      </c>
      <c r="C46" s="235">
        <f>IFERROR(ROUND(VLOOKUP($E$3,'Outturn 2023-24 BY BCC FINAL'!$B:$CO,53,FALSE),2),0)</f>
        <v>0</v>
      </c>
      <c r="D46" s="236"/>
      <c r="E46" s="237"/>
      <c r="F46" s="237"/>
      <c r="G46" s="237"/>
      <c r="H46" s="237"/>
      <c r="I46" s="237"/>
      <c r="J46" s="237"/>
      <c r="K46" s="237"/>
      <c r="L46" s="242"/>
      <c r="M46" s="242"/>
      <c r="N46" s="242"/>
      <c r="O46" s="240" t="s">
        <v>1190</v>
      </c>
    </row>
    <row r="47" spans="1:15" ht="15" customHeight="1" x14ac:dyDescent="0.25">
      <c r="A47" s="1" t="s">
        <v>67</v>
      </c>
      <c r="B47" s="2" t="s">
        <v>1226</v>
      </c>
      <c r="C47" s="235">
        <f>IFERROR(ROUND(VLOOKUP($E$3,'Outturn 2023-24 BY BCC FINAL'!$B:$CO,54,FALSE),2),0)</f>
        <v>0</v>
      </c>
      <c r="D47" s="236"/>
      <c r="E47" s="237"/>
      <c r="F47" s="237"/>
      <c r="G47" s="237"/>
      <c r="H47" s="237"/>
      <c r="I47" s="237"/>
      <c r="J47" s="237"/>
      <c r="K47" s="237"/>
      <c r="L47" s="241"/>
      <c r="M47" s="242"/>
      <c r="N47" s="242"/>
      <c r="O47" s="240" t="s">
        <v>1190</v>
      </c>
    </row>
    <row r="48" spans="1:15" ht="15" customHeight="1" x14ac:dyDescent="0.25">
      <c r="A48" s="1" t="s">
        <v>68</v>
      </c>
      <c r="B48" s="2" t="s">
        <v>1227</v>
      </c>
      <c r="C48" s="235">
        <f>IFERROR(ROUND(VLOOKUP($E$3,'Outturn 2023-24 BY BCC FINAL'!$B:$CO,55,FALSE),2),0)</f>
        <v>0</v>
      </c>
      <c r="D48" s="236"/>
      <c r="E48" s="237"/>
      <c r="F48" s="237"/>
      <c r="G48" s="237"/>
      <c r="H48" s="237"/>
      <c r="I48" s="237"/>
      <c r="J48" s="237"/>
      <c r="K48" s="237"/>
      <c r="L48" s="242"/>
      <c r="M48" s="242"/>
      <c r="N48" s="242"/>
      <c r="O48" s="240" t="s">
        <v>1190</v>
      </c>
    </row>
    <row r="49" spans="1:15" ht="15" customHeight="1" x14ac:dyDescent="0.25">
      <c r="A49" s="1" t="s">
        <v>69</v>
      </c>
      <c r="B49" s="2" t="s">
        <v>1228</v>
      </c>
      <c r="C49" s="235">
        <f>IFERROR(ROUND(VLOOKUP($E$3,'Outturn 2023-24 BY BCC FINAL'!$B:$CO,56,FALSE),2),0)</f>
        <v>0</v>
      </c>
      <c r="D49" s="236"/>
      <c r="E49" s="237"/>
      <c r="F49" s="237"/>
      <c r="G49" s="237"/>
      <c r="H49" s="237"/>
      <c r="I49" s="237"/>
      <c r="J49" s="237"/>
      <c r="K49" s="237"/>
      <c r="L49" s="242"/>
      <c r="M49" s="242"/>
      <c r="N49" s="242"/>
      <c r="O49" s="240" t="s">
        <v>1190</v>
      </c>
    </row>
    <row r="50" spans="1:15" ht="15" customHeight="1" x14ac:dyDescent="0.25">
      <c r="A50" s="1" t="s">
        <v>70</v>
      </c>
      <c r="B50" s="2" t="s">
        <v>1229</v>
      </c>
      <c r="C50" s="235">
        <f>IFERROR(ROUND(VLOOKUP($E$3,'Outturn 2023-24 BY BCC FINAL'!$B:$CO,57,FALSE),2),0)</f>
        <v>0</v>
      </c>
      <c r="D50" s="236"/>
      <c r="E50" s="237"/>
      <c r="F50" s="237"/>
      <c r="G50" s="237"/>
      <c r="H50" s="237"/>
      <c r="I50" s="237"/>
      <c r="J50" s="237"/>
      <c r="K50" s="237"/>
      <c r="L50" s="242"/>
      <c r="M50" s="242"/>
      <c r="N50" s="242"/>
      <c r="O50" s="240" t="s">
        <v>1190</v>
      </c>
    </row>
    <row r="51" spans="1:15" ht="15" customHeight="1" x14ac:dyDescent="0.25">
      <c r="A51" s="1" t="s">
        <v>71</v>
      </c>
      <c r="B51" s="2" t="s">
        <v>1230</v>
      </c>
      <c r="C51" s="235">
        <f>IFERROR(ROUND(VLOOKUP($E$3,'Outturn 2023-24 BY BCC FINAL'!$B:$CO,58,FALSE),2),0)</f>
        <v>0</v>
      </c>
      <c r="D51" s="236"/>
      <c r="E51" s="237"/>
      <c r="F51" s="237"/>
      <c r="G51" s="237"/>
      <c r="H51" s="237"/>
      <c r="I51" s="237"/>
      <c r="J51" s="237"/>
      <c r="K51" s="237"/>
      <c r="L51" s="241"/>
      <c r="M51" s="242"/>
      <c r="N51" s="242"/>
      <c r="O51" s="240" t="s">
        <v>1190</v>
      </c>
    </row>
    <row r="52" spans="1:15" ht="15" customHeight="1" x14ac:dyDescent="0.25">
      <c r="A52" s="1" t="s">
        <v>72</v>
      </c>
      <c r="B52" s="2" t="s">
        <v>1231</v>
      </c>
      <c r="C52" s="235">
        <f>IFERROR(ROUND(VLOOKUP($E$3,'Outturn 2023-24 BY BCC FINAL'!$B:$CO,59,FALSE),2),0)</f>
        <v>0</v>
      </c>
      <c r="D52" s="236"/>
      <c r="E52" s="237"/>
      <c r="F52" s="237"/>
      <c r="G52" s="237"/>
      <c r="H52" s="237"/>
      <c r="I52" s="237"/>
      <c r="J52" s="237"/>
      <c r="K52" s="237"/>
      <c r="L52" s="242"/>
      <c r="M52" s="242"/>
      <c r="N52" s="242"/>
      <c r="O52" s="240" t="s">
        <v>1190</v>
      </c>
    </row>
    <row r="53" spans="1:15" ht="15" customHeight="1" x14ac:dyDescent="0.25">
      <c r="A53" s="1" t="s">
        <v>73</v>
      </c>
      <c r="B53" s="2" t="s">
        <v>1232</v>
      </c>
      <c r="C53" s="235">
        <f>IFERROR(ROUND(VLOOKUP($E$3,'Outturn 2023-24 BY BCC FINAL'!$B:$CO,60,FALSE),2),0)</f>
        <v>0</v>
      </c>
      <c r="D53" s="236"/>
      <c r="E53" s="237"/>
      <c r="F53" s="237"/>
      <c r="G53" s="237"/>
      <c r="H53" s="237"/>
      <c r="I53" s="237"/>
      <c r="J53" s="237"/>
      <c r="K53" s="237"/>
      <c r="L53" s="241"/>
      <c r="M53" s="242"/>
      <c r="N53" s="242"/>
      <c r="O53" s="240" t="s">
        <v>1190</v>
      </c>
    </row>
    <row r="54" spans="1:15" ht="15" customHeight="1" x14ac:dyDescent="0.25">
      <c r="A54" s="1" t="s">
        <v>74</v>
      </c>
      <c r="B54" s="2" t="s">
        <v>1233</v>
      </c>
      <c r="C54" s="235">
        <f>IFERROR(ROUND(VLOOKUP($E$3,'Outturn 2023-24 BY BCC FINAL'!$B:$CO,61,FALSE),2),0)</f>
        <v>0</v>
      </c>
      <c r="D54" s="236"/>
      <c r="E54" s="237"/>
      <c r="F54" s="237"/>
      <c r="G54" s="237"/>
      <c r="H54" s="237"/>
      <c r="I54" s="237"/>
      <c r="J54" s="237"/>
      <c r="K54" s="237"/>
      <c r="L54" s="241"/>
      <c r="M54" s="242"/>
      <c r="N54" s="242"/>
      <c r="O54" s="240" t="s">
        <v>1190</v>
      </c>
    </row>
    <row r="55" spans="1:15" ht="15" customHeight="1" x14ac:dyDescent="0.25">
      <c r="A55" s="1" t="s">
        <v>75</v>
      </c>
      <c r="B55" s="2" t="s">
        <v>1234</v>
      </c>
      <c r="C55" s="235">
        <f>IFERROR(ROUND(VLOOKUP($E$3,'Outturn 2023-24 BY BCC FINAL'!$B:$CO,62,FALSE),2),0)</f>
        <v>0</v>
      </c>
      <c r="D55" s="236"/>
      <c r="E55" s="237"/>
      <c r="F55" s="237"/>
      <c r="G55" s="237"/>
      <c r="H55" s="237"/>
      <c r="I55" s="237"/>
      <c r="J55" s="237"/>
      <c r="K55" s="237"/>
      <c r="L55" s="241"/>
      <c r="M55" s="242"/>
      <c r="N55" s="242"/>
      <c r="O55" s="240" t="s">
        <v>1190</v>
      </c>
    </row>
    <row r="56" spans="1:15" ht="15" customHeight="1" x14ac:dyDescent="0.25">
      <c r="A56" s="1" t="s">
        <v>76</v>
      </c>
      <c r="B56" s="2" t="s">
        <v>1235</v>
      </c>
      <c r="C56" s="235">
        <f>IFERROR(ROUND(VLOOKUP($E$3,'Outturn 2023-24 BY BCC FINAL'!$B:$CO,63,FALSE),2),0)</f>
        <v>0</v>
      </c>
      <c r="D56" s="236"/>
      <c r="E56" s="237"/>
      <c r="F56" s="237"/>
      <c r="G56" s="237"/>
      <c r="H56" s="237"/>
      <c r="I56" s="237"/>
      <c r="J56" s="237"/>
      <c r="K56" s="237"/>
      <c r="L56" s="241"/>
      <c r="M56" s="242"/>
      <c r="N56" s="242"/>
      <c r="O56" s="240" t="s">
        <v>1190</v>
      </c>
    </row>
    <row r="57" spans="1:15" ht="15" customHeight="1" x14ac:dyDescent="0.25">
      <c r="A57" s="1" t="s">
        <v>77</v>
      </c>
      <c r="B57" s="2" t="s">
        <v>1236</v>
      </c>
      <c r="C57" s="235">
        <f>IFERROR(ROUND(VLOOKUP($E$3,'Outturn 2023-24 BY BCC FINAL'!$B:$CO,64,FALSE),2),0)</f>
        <v>0</v>
      </c>
      <c r="D57" s="236"/>
      <c r="E57" s="237"/>
      <c r="F57" s="237"/>
      <c r="G57" s="237"/>
      <c r="H57" s="237"/>
      <c r="I57" s="237"/>
      <c r="J57" s="237"/>
      <c r="K57" s="237"/>
      <c r="L57" s="241"/>
      <c r="M57" s="242"/>
      <c r="N57" s="242"/>
      <c r="O57" s="240" t="s">
        <v>1190</v>
      </c>
    </row>
    <row r="58" spans="1:15" ht="15" customHeight="1" x14ac:dyDescent="0.25">
      <c r="A58" s="1" t="s">
        <v>78</v>
      </c>
      <c r="B58" s="2" t="s">
        <v>1237</v>
      </c>
      <c r="C58" s="235">
        <f>IFERROR(ROUND(VLOOKUP($E$3,'Outturn 2023-24 BY BCC FINAL'!$B:$CO,65,FALSE),2),0)</f>
        <v>0</v>
      </c>
      <c r="D58" s="236"/>
      <c r="E58" s="237"/>
      <c r="F58" s="237"/>
      <c r="G58" s="237"/>
      <c r="H58" s="237"/>
      <c r="I58" s="237"/>
      <c r="J58" s="237"/>
      <c r="K58" s="237"/>
      <c r="L58" s="242"/>
      <c r="M58" s="242"/>
      <c r="N58" s="242"/>
      <c r="O58" s="240" t="s">
        <v>1190</v>
      </c>
    </row>
    <row r="59" spans="1:15" ht="15" customHeight="1" x14ac:dyDescent="0.25">
      <c r="A59" s="1" t="s">
        <v>79</v>
      </c>
      <c r="B59" s="2" t="s">
        <v>1238</v>
      </c>
      <c r="C59" s="235">
        <f>IFERROR(ROUND(VLOOKUP($E$3,'Outturn 2023-24 BY BCC FINAL'!$B:$CO,66,FALSE),2),0)</f>
        <v>0</v>
      </c>
      <c r="D59" s="236"/>
      <c r="E59" s="237"/>
      <c r="F59" s="237"/>
      <c r="G59" s="237"/>
      <c r="H59" s="237"/>
      <c r="I59" s="237"/>
      <c r="J59" s="237"/>
      <c r="K59" s="237"/>
      <c r="L59" s="242"/>
      <c r="M59" s="242"/>
      <c r="N59" s="242"/>
      <c r="O59" s="240" t="s">
        <v>1190</v>
      </c>
    </row>
    <row r="60" spans="1:15" ht="15" customHeight="1" x14ac:dyDescent="0.25">
      <c r="A60" s="1" t="s">
        <v>80</v>
      </c>
      <c r="B60" s="2" t="s">
        <v>1239</v>
      </c>
      <c r="C60" s="235">
        <f>IFERROR(ROUND(VLOOKUP($E$3,'Outturn 2023-24 BY BCC FINAL'!$B:$CO,67,FALSE),2),0)</f>
        <v>0</v>
      </c>
      <c r="D60" s="236"/>
      <c r="E60" s="237"/>
      <c r="F60" s="237"/>
      <c r="G60" s="237"/>
      <c r="H60" s="237"/>
      <c r="I60" s="237"/>
      <c r="J60" s="237"/>
      <c r="K60" s="237"/>
      <c r="L60" s="242"/>
      <c r="M60" s="242"/>
      <c r="N60" s="242"/>
      <c r="O60" s="240" t="s">
        <v>1190</v>
      </c>
    </row>
    <row r="61" spans="1:15" ht="15" customHeight="1" x14ac:dyDescent="0.25">
      <c r="A61" s="1" t="s">
        <v>81</v>
      </c>
      <c r="B61" s="2" t="s">
        <v>1240</v>
      </c>
      <c r="C61" s="235">
        <f>IFERROR(ROUND(VLOOKUP($E$3,'Outturn 2023-24 BY BCC FINAL'!$B:$CO,68,FALSE),2),0)</f>
        <v>0</v>
      </c>
      <c r="D61" s="236"/>
      <c r="E61" s="237"/>
      <c r="F61" s="237"/>
      <c r="G61" s="237"/>
      <c r="H61" s="237"/>
      <c r="I61" s="237"/>
      <c r="J61" s="237"/>
      <c r="K61" s="237"/>
      <c r="L61" s="241"/>
      <c r="M61" s="242"/>
      <c r="N61" s="242"/>
      <c r="O61" s="240" t="s">
        <v>1190</v>
      </c>
    </row>
    <row r="62" spans="1:15" ht="15" customHeight="1" x14ac:dyDescent="0.25">
      <c r="A62" s="1" t="s">
        <v>82</v>
      </c>
      <c r="B62" s="2" t="s">
        <v>1241</v>
      </c>
      <c r="C62" s="235">
        <f>IFERROR(ROUND(VLOOKUP($E$3,'Outturn 2023-24 BY BCC FINAL'!$B:$CO,69,FALSE),2),0)</f>
        <v>0</v>
      </c>
      <c r="D62" s="236"/>
      <c r="E62" s="237"/>
      <c r="F62" s="237"/>
      <c r="G62" s="237"/>
      <c r="H62" s="237"/>
      <c r="I62" s="237"/>
      <c r="J62" s="237"/>
      <c r="K62" s="237"/>
      <c r="L62" s="242"/>
      <c r="M62" s="242"/>
      <c r="N62" s="242"/>
      <c r="O62" s="240" t="s">
        <v>1190</v>
      </c>
    </row>
    <row r="63" spans="1:15" ht="15" customHeight="1" x14ac:dyDescent="0.25">
      <c r="A63" s="1" t="s">
        <v>83</v>
      </c>
      <c r="B63" s="2" t="s">
        <v>1242</v>
      </c>
      <c r="C63" s="235">
        <f>IFERROR(ROUND(VLOOKUP($E$3,'Outturn 2023-24 BY BCC FINAL'!$B:$CO,70,FALSE),2),0)</f>
        <v>0</v>
      </c>
      <c r="D63" s="236"/>
      <c r="E63" s="237"/>
      <c r="F63" s="237"/>
      <c r="G63" s="237"/>
      <c r="H63" s="237"/>
      <c r="I63" s="237"/>
      <c r="J63" s="237"/>
      <c r="K63" s="237"/>
      <c r="L63" s="242"/>
      <c r="M63" s="242"/>
      <c r="N63" s="242"/>
      <c r="O63" s="240" t="s">
        <v>1190</v>
      </c>
    </row>
    <row r="64" spans="1:15" ht="15" customHeight="1" x14ac:dyDescent="0.25">
      <c r="A64" s="1" t="s">
        <v>84</v>
      </c>
      <c r="B64" s="2" t="s">
        <v>1243</v>
      </c>
      <c r="C64" s="235">
        <f>IFERROR(ROUND(VLOOKUP($E$3,'Outturn 2023-24 BY BCC FINAL'!$B:$CO,71,FALSE),2),0)</f>
        <v>0</v>
      </c>
      <c r="D64" s="236"/>
      <c r="E64" s="237"/>
      <c r="F64" s="237"/>
      <c r="G64" s="237"/>
      <c r="H64" s="237"/>
      <c r="I64" s="237"/>
      <c r="J64" s="237"/>
      <c r="K64" s="237"/>
      <c r="L64" s="241"/>
      <c r="M64" s="242"/>
      <c r="N64" s="242"/>
      <c r="O64" s="240" t="s">
        <v>1190</v>
      </c>
    </row>
    <row r="65" spans="1:15" ht="15" customHeight="1" x14ac:dyDescent="0.25">
      <c r="A65" s="1" t="s">
        <v>85</v>
      </c>
      <c r="B65" s="2" t="s">
        <v>1244</v>
      </c>
      <c r="C65" s="235">
        <f>IFERROR(ROUND(VLOOKUP($E$3,'Outturn 2023-24 BY BCC FINAL'!$B:$CO,72,FALSE),2),0)</f>
        <v>0</v>
      </c>
      <c r="D65" s="236"/>
      <c r="E65" s="237"/>
      <c r="F65" s="237"/>
      <c r="G65" s="237"/>
      <c r="H65" s="237"/>
      <c r="I65" s="237"/>
      <c r="J65" s="237"/>
      <c r="K65" s="237"/>
      <c r="L65" s="242"/>
      <c r="M65" s="242"/>
      <c r="N65" s="242"/>
      <c r="O65" s="240" t="s">
        <v>1190</v>
      </c>
    </row>
    <row r="66" spans="1:15" ht="15" customHeight="1" x14ac:dyDescent="0.25">
      <c r="A66" s="1" t="s">
        <v>86</v>
      </c>
      <c r="B66" s="2" t="s">
        <v>1245</v>
      </c>
      <c r="C66" s="235">
        <f>IFERROR(ROUND(VLOOKUP($E$3,'Outturn 2023-24 BY BCC FINAL'!$B:$CO,73,FALSE),2),0)</f>
        <v>0</v>
      </c>
      <c r="D66" s="236"/>
      <c r="E66" s="237"/>
      <c r="F66" s="237"/>
      <c r="G66" s="237"/>
      <c r="H66" s="237"/>
      <c r="I66" s="237"/>
      <c r="J66" s="237"/>
      <c r="K66" s="237"/>
      <c r="L66" s="242"/>
      <c r="M66" s="242"/>
      <c r="N66" s="239"/>
      <c r="O66" s="240" t="s">
        <v>1190</v>
      </c>
    </row>
    <row r="67" spans="1:15" ht="15" customHeight="1" x14ac:dyDescent="0.25">
      <c r="A67" s="1" t="s">
        <v>87</v>
      </c>
      <c r="B67" s="2" t="s">
        <v>1246</v>
      </c>
      <c r="C67" s="235">
        <f>IFERROR(ROUND(VLOOKUP($E$3,'Outturn 2023-24 BY BCC FINAL'!$B:$CO,74,FALSE),2),0)</f>
        <v>0</v>
      </c>
      <c r="D67" s="236"/>
      <c r="E67" s="237"/>
      <c r="F67" s="237"/>
      <c r="G67" s="237"/>
      <c r="H67" s="237"/>
      <c r="I67" s="237"/>
      <c r="J67" s="237"/>
      <c r="K67" s="237"/>
      <c r="L67" s="242"/>
      <c r="M67" s="242"/>
      <c r="N67" s="242"/>
      <c r="O67" s="240" t="s">
        <v>1190</v>
      </c>
    </row>
    <row r="68" spans="1:15" ht="15" customHeight="1" x14ac:dyDescent="0.25">
      <c r="A68" s="1" t="s">
        <v>88</v>
      </c>
      <c r="B68" s="2" t="s">
        <v>1247</v>
      </c>
      <c r="C68" s="235">
        <f>IFERROR(ROUND(VLOOKUP($E$3,'Outturn 2023-24 BY BCC FINAL'!$B:$CO,75,FALSE),2),0)</f>
        <v>0</v>
      </c>
      <c r="D68" s="236"/>
      <c r="E68" s="237"/>
      <c r="F68" s="237"/>
      <c r="G68" s="237"/>
      <c r="H68" s="237"/>
      <c r="I68" s="237"/>
      <c r="J68" s="237"/>
      <c r="K68" s="237"/>
      <c r="L68" s="242"/>
      <c r="M68" s="242"/>
      <c r="N68" s="242"/>
      <c r="O68" s="240" t="s">
        <v>1190</v>
      </c>
    </row>
    <row r="69" spans="1:15" ht="15" customHeight="1" x14ac:dyDescent="0.25">
      <c r="A69" s="1" t="s">
        <v>89</v>
      </c>
      <c r="B69" s="2" t="s">
        <v>1248</v>
      </c>
      <c r="C69" s="235">
        <f>IFERROR(ROUND(VLOOKUP($E$3,'Outturn 2023-24 BY BCC FINAL'!$B:$CO,76,FALSE),2),0)</f>
        <v>0</v>
      </c>
      <c r="D69" s="236"/>
      <c r="E69" s="237"/>
      <c r="F69" s="237"/>
      <c r="G69" s="237"/>
      <c r="H69" s="237"/>
      <c r="I69" s="237"/>
      <c r="J69" s="237"/>
      <c r="K69" s="237"/>
      <c r="L69" s="242"/>
      <c r="M69" s="242"/>
      <c r="N69" s="242"/>
      <c r="O69" s="240" t="s">
        <v>1190</v>
      </c>
    </row>
    <row r="70" spans="1:15" ht="15" customHeight="1" x14ac:dyDescent="0.25">
      <c r="A70" s="1" t="s">
        <v>90</v>
      </c>
      <c r="B70" s="2" t="s">
        <v>1249</v>
      </c>
      <c r="C70" s="235">
        <f>IFERROR(ROUND(VLOOKUP($E$3,'Outturn 2023-24 BY BCC FINAL'!$B:$CO,77,FALSE),2),0)</f>
        <v>0</v>
      </c>
      <c r="D70" s="236"/>
      <c r="E70" s="237"/>
      <c r="F70" s="237"/>
      <c r="G70" s="237"/>
      <c r="H70" s="237"/>
      <c r="I70" s="237"/>
      <c r="J70" s="237"/>
      <c r="K70" s="237"/>
      <c r="L70" s="241"/>
      <c r="M70" s="242"/>
      <c r="N70" s="242"/>
      <c r="O70" s="240" t="s">
        <v>1190</v>
      </c>
    </row>
    <row r="71" spans="1:15" ht="15" customHeight="1" x14ac:dyDescent="0.25">
      <c r="A71" s="1" t="s">
        <v>91</v>
      </c>
      <c r="B71" s="2" t="s">
        <v>1250</v>
      </c>
      <c r="C71" s="235">
        <f>IFERROR(ROUND(VLOOKUP($E$3,'Outturn 2023-24 BY BCC FINAL'!$B:$CO,78,FALSE),2),0)</f>
        <v>0</v>
      </c>
      <c r="D71" s="236"/>
      <c r="E71" s="237"/>
      <c r="F71" s="237"/>
      <c r="G71" s="237"/>
      <c r="H71" s="237"/>
      <c r="I71" s="237"/>
      <c r="J71" s="237"/>
      <c r="K71" s="237"/>
      <c r="L71" s="241"/>
      <c r="M71" s="242"/>
      <c r="N71" s="242"/>
      <c r="O71" s="240" t="s">
        <v>1190</v>
      </c>
    </row>
    <row r="72" spans="1:15" ht="15" customHeight="1" x14ac:dyDescent="0.25">
      <c r="A72" s="1" t="s">
        <v>92</v>
      </c>
      <c r="B72" s="2" t="s">
        <v>1251</v>
      </c>
      <c r="C72" s="235">
        <f>IFERROR(ROUND(VLOOKUP($E$3,'Outturn 2023-24 BY BCC FINAL'!$B:$CO,79,FALSE),2),0)</f>
        <v>0</v>
      </c>
      <c r="D72" s="236"/>
      <c r="E72" s="237"/>
      <c r="F72" s="237"/>
      <c r="G72" s="237"/>
      <c r="H72" s="237"/>
      <c r="I72" s="237"/>
      <c r="J72" s="237"/>
      <c r="K72" s="237"/>
      <c r="L72" s="241"/>
      <c r="M72" s="242"/>
      <c r="N72" s="242"/>
      <c r="O72" s="240" t="s">
        <v>1190</v>
      </c>
    </row>
    <row r="73" spans="1:15" ht="15" customHeight="1" x14ac:dyDescent="0.25">
      <c r="A73" s="1" t="s">
        <v>93</v>
      </c>
      <c r="B73" s="2" t="s">
        <v>1252</v>
      </c>
      <c r="C73" s="235">
        <f>IFERROR(ROUND(VLOOKUP($E$3,'Outturn 2023-24 BY BCC FINAL'!$B:$CO,80,FALSE),2),0)</f>
        <v>0</v>
      </c>
      <c r="D73" s="236"/>
      <c r="E73" s="237"/>
      <c r="F73" s="237"/>
      <c r="G73" s="237"/>
      <c r="H73" s="237"/>
      <c r="I73" s="237"/>
      <c r="J73" s="237"/>
      <c r="K73" s="237"/>
      <c r="L73" s="241"/>
      <c r="M73" s="242"/>
      <c r="N73" s="242"/>
      <c r="O73" s="240" t="s">
        <v>1190</v>
      </c>
    </row>
    <row r="74" spans="1:15" ht="15" customHeight="1" x14ac:dyDescent="0.3">
      <c r="A74" s="450" t="s">
        <v>1253</v>
      </c>
      <c r="B74" s="450"/>
      <c r="C74" s="171">
        <f t="shared" ref="C74:K74" si="3">SUM(C41:C73)</f>
        <v>0</v>
      </c>
      <c r="D74" s="146">
        <f t="shared" si="3"/>
        <v>0</v>
      </c>
      <c r="E74" s="146">
        <f t="shared" si="3"/>
        <v>0</v>
      </c>
      <c r="F74" s="146">
        <f t="shared" si="3"/>
        <v>0</v>
      </c>
      <c r="G74" s="146">
        <f t="shared" si="3"/>
        <v>0</v>
      </c>
      <c r="H74" s="146">
        <f t="shared" si="3"/>
        <v>0</v>
      </c>
      <c r="I74" s="146">
        <f t="shared" si="3"/>
        <v>0</v>
      </c>
      <c r="J74" s="146">
        <f t="shared" si="3"/>
        <v>0</v>
      </c>
      <c r="K74" s="146">
        <f t="shared" si="3"/>
        <v>0</v>
      </c>
      <c r="L74" s="4"/>
      <c r="M74" s="5"/>
      <c r="N74" s="5"/>
      <c r="O74" s="6"/>
    </row>
    <row r="75" spans="1:15" ht="12.75" customHeight="1" x14ac:dyDescent="0.25">
      <c r="C75" s="168"/>
      <c r="D75" s="168"/>
      <c r="E75" s="169"/>
      <c r="F75" s="169"/>
      <c r="G75" s="169"/>
      <c r="H75" s="169"/>
      <c r="I75" s="169"/>
      <c r="J75" s="169"/>
      <c r="K75" s="169"/>
    </row>
    <row r="76" spans="1:15" ht="15" customHeight="1" x14ac:dyDescent="0.25">
      <c r="A76" s="3" t="s">
        <v>1254</v>
      </c>
      <c r="B76" s="7"/>
      <c r="C76" s="172">
        <f t="shared" ref="C76:K76" si="4">C37-C74</f>
        <v>0</v>
      </c>
      <c r="D76" s="172">
        <f>D37-D74</f>
        <v>0</v>
      </c>
      <c r="E76" s="172">
        <f t="shared" si="4"/>
        <v>0</v>
      </c>
      <c r="F76" s="172"/>
      <c r="G76" s="172">
        <f t="shared" si="4"/>
        <v>0</v>
      </c>
      <c r="H76" s="172">
        <f t="shared" si="4"/>
        <v>0</v>
      </c>
      <c r="I76" s="172"/>
      <c r="J76" s="172"/>
      <c r="K76" s="172">
        <f t="shared" si="4"/>
        <v>0</v>
      </c>
      <c r="L76" s="4"/>
      <c r="M76" s="5"/>
      <c r="N76" s="5"/>
      <c r="O76" s="6"/>
    </row>
    <row r="77" spans="1:15" ht="15" customHeight="1" x14ac:dyDescent="0.25">
      <c r="A77" s="3" t="s">
        <v>1255</v>
      </c>
      <c r="B77" s="7"/>
      <c r="C77" s="172">
        <f>C8+C9</f>
        <v>0</v>
      </c>
      <c r="D77" s="172">
        <f>D8+D9</f>
        <v>0</v>
      </c>
      <c r="E77" s="172">
        <f>E8+E9</f>
        <v>0</v>
      </c>
      <c r="F77" s="172"/>
      <c r="G77" s="172">
        <f t="shared" ref="G77:K77" si="5">G13</f>
        <v>0</v>
      </c>
      <c r="H77" s="172">
        <f t="shared" si="5"/>
        <v>0</v>
      </c>
      <c r="I77" s="172"/>
      <c r="J77" s="172"/>
      <c r="K77" s="172">
        <f t="shared" si="5"/>
        <v>0</v>
      </c>
      <c r="L77" s="4"/>
      <c r="M77" s="5"/>
      <c r="N77" s="5"/>
      <c r="O77" s="6"/>
    </row>
    <row r="78" spans="1:15" ht="15" customHeight="1" x14ac:dyDescent="0.25">
      <c r="A78" s="3" t="s">
        <v>1256</v>
      </c>
      <c r="B78" s="7"/>
      <c r="C78" s="172">
        <f t="shared" ref="C78:K78" si="6">SUM(C76:C77)</f>
        <v>0</v>
      </c>
      <c r="D78" s="172">
        <f t="shared" si="6"/>
        <v>0</v>
      </c>
      <c r="E78" s="172">
        <f t="shared" si="6"/>
        <v>0</v>
      </c>
      <c r="F78" s="172">
        <f t="shared" si="6"/>
        <v>0</v>
      </c>
      <c r="G78" s="172">
        <f t="shared" si="6"/>
        <v>0</v>
      </c>
      <c r="H78" s="172">
        <f t="shared" si="6"/>
        <v>0</v>
      </c>
      <c r="I78" s="172">
        <f t="shared" si="6"/>
        <v>0</v>
      </c>
      <c r="J78" s="172">
        <f t="shared" si="6"/>
        <v>0</v>
      </c>
      <c r="K78" s="172">
        <f t="shared" si="6"/>
        <v>0</v>
      </c>
      <c r="L78" s="4"/>
      <c r="M78" s="5"/>
      <c r="N78" s="5"/>
      <c r="O78" s="6"/>
    </row>
    <row r="79" spans="1:15" ht="12.75" customHeight="1" x14ac:dyDescent="0.25">
      <c r="C79" s="168"/>
      <c r="D79" s="168"/>
      <c r="E79" s="169"/>
      <c r="F79" s="169"/>
      <c r="G79" s="169"/>
      <c r="H79" s="169"/>
      <c r="I79" s="169"/>
      <c r="J79" s="169"/>
      <c r="K79" s="169"/>
    </row>
    <row r="80" spans="1:15" ht="13" x14ac:dyDescent="0.25">
      <c r="A80" s="14" t="s">
        <v>8</v>
      </c>
      <c r="B80" s="14"/>
      <c r="C80" s="170"/>
      <c r="D80" s="170"/>
      <c r="E80" s="454"/>
      <c r="F80" s="454"/>
      <c r="G80" s="454"/>
      <c r="H80" s="454"/>
      <c r="I80" s="454"/>
      <c r="J80" s="454"/>
      <c r="K80" s="454"/>
      <c r="L80" s="8"/>
      <c r="M80" s="9"/>
      <c r="N80" s="9"/>
      <c r="O80" s="9"/>
    </row>
    <row r="81" spans="1:15" ht="15" customHeight="1" x14ac:dyDescent="0.25">
      <c r="A81" s="1" t="s">
        <v>94</v>
      </c>
      <c r="B81" s="2" t="s">
        <v>8</v>
      </c>
      <c r="C81" s="180">
        <f>IFERROR(ROUND(VLOOKUP($E$3,'Outturn 2023-24 BY BCC FINAL'!$B:$CO,81,FALSE),2),0)</f>
        <v>0</v>
      </c>
      <c r="D81" s="236"/>
      <c r="E81" s="237"/>
      <c r="F81" s="237"/>
      <c r="G81" s="237"/>
      <c r="H81" s="237"/>
      <c r="I81" s="237"/>
      <c r="J81" s="237"/>
      <c r="K81" s="237"/>
      <c r="L81" s="242"/>
      <c r="M81" s="242"/>
      <c r="N81" s="242"/>
      <c r="O81" s="240" t="s">
        <v>1190</v>
      </c>
    </row>
    <row r="82" spans="1:15" ht="15" customHeight="1" x14ac:dyDescent="0.25">
      <c r="A82" s="1" t="s">
        <v>95</v>
      </c>
      <c r="B82" s="2" t="s">
        <v>1257</v>
      </c>
      <c r="C82" s="180">
        <f>IFERROR(ROUND(VLOOKUP($E$3,'Outturn 2023-24 BY BCC FINAL'!$B:$CO,82,FALSE),2),0)</f>
        <v>0</v>
      </c>
      <c r="D82" s="236"/>
      <c r="E82" s="237"/>
      <c r="F82" s="237"/>
      <c r="G82" s="237"/>
      <c r="H82" s="237"/>
      <c r="I82" s="237"/>
      <c r="J82" s="237"/>
      <c r="K82" s="237"/>
      <c r="L82" s="242"/>
      <c r="M82" s="242"/>
      <c r="N82" s="242"/>
      <c r="O82" s="240" t="s">
        <v>1190</v>
      </c>
    </row>
    <row r="83" spans="1:15" ht="15" customHeight="1" x14ac:dyDescent="0.25">
      <c r="A83" s="1" t="s">
        <v>96</v>
      </c>
      <c r="B83" s="2" t="s">
        <v>1250</v>
      </c>
      <c r="C83" s="180">
        <f>IFERROR(ROUND(VLOOKUP($E$3,'Outturn 2023-24 BY BCC FINAL'!$B:$CO,83,FALSE),2),0)</f>
        <v>0</v>
      </c>
      <c r="D83" s="236"/>
      <c r="E83" s="237"/>
      <c r="F83" s="237"/>
      <c r="G83" s="237"/>
      <c r="H83" s="237"/>
      <c r="I83" s="237"/>
      <c r="J83" s="237"/>
      <c r="K83" s="237"/>
      <c r="L83" s="241"/>
      <c r="M83" s="242"/>
      <c r="N83" s="242"/>
      <c r="O83" s="240" t="s">
        <v>1190</v>
      </c>
    </row>
    <row r="84" spans="1:15" ht="15" customHeight="1" x14ac:dyDescent="0.25">
      <c r="A84" s="450" t="s">
        <v>1258</v>
      </c>
      <c r="B84" s="450"/>
      <c r="C84" s="172">
        <f t="shared" ref="C84:K84" si="7">SUM(C81:C83)</f>
        <v>0</v>
      </c>
      <c r="D84" s="172">
        <f t="shared" si="7"/>
        <v>0</v>
      </c>
      <c r="E84" s="172">
        <f t="shared" si="7"/>
        <v>0</v>
      </c>
      <c r="F84" s="172">
        <f t="shared" si="7"/>
        <v>0</v>
      </c>
      <c r="G84" s="172">
        <f t="shared" si="7"/>
        <v>0</v>
      </c>
      <c r="H84" s="172">
        <f t="shared" si="7"/>
        <v>0</v>
      </c>
      <c r="I84" s="172">
        <f t="shared" si="7"/>
        <v>0</v>
      </c>
      <c r="J84" s="172">
        <f t="shared" si="7"/>
        <v>0</v>
      </c>
      <c r="K84" s="172">
        <f t="shared" si="7"/>
        <v>0</v>
      </c>
      <c r="L84" s="4"/>
      <c r="M84" s="5"/>
      <c r="N84" s="5"/>
      <c r="O84" s="6"/>
    </row>
    <row r="85" spans="1:15" ht="12.75" customHeight="1" x14ac:dyDescent="0.25">
      <c r="C85" s="168"/>
      <c r="D85" s="168"/>
      <c r="E85" s="169"/>
      <c r="F85" s="169"/>
      <c r="G85" s="169"/>
      <c r="H85" s="169"/>
      <c r="I85" s="169"/>
      <c r="J85" s="169"/>
      <c r="K85" s="169"/>
    </row>
    <row r="86" spans="1:15" ht="13" x14ac:dyDescent="0.25">
      <c r="A86" s="151" t="s">
        <v>9</v>
      </c>
      <c r="B86" s="3"/>
      <c r="C86" s="170"/>
      <c r="D86" s="170"/>
      <c r="E86" s="454" t="s">
        <v>1259</v>
      </c>
      <c r="F86" s="454"/>
      <c r="G86" s="454"/>
      <c r="H86" s="454"/>
      <c r="I86" s="454"/>
      <c r="J86" s="454"/>
      <c r="K86" s="454"/>
      <c r="L86" s="8" t="s">
        <v>1184</v>
      </c>
      <c r="M86" s="9" t="s">
        <v>1185</v>
      </c>
      <c r="N86" s="9" t="s">
        <v>1186</v>
      </c>
      <c r="O86" s="9" t="s">
        <v>1187</v>
      </c>
    </row>
    <row r="87" spans="1:15" ht="15" customHeight="1" x14ac:dyDescent="0.25">
      <c r="A87" s="1" t="s">
        <v>98</v>
      </c>
      <c r="B87" s="152" t="s">
        <v>1260</v>
      </c>
      <c r="C87" s="180">
        <f>IFERROR(ROUND(VLOOKUP($E$3,'Outturn 2023-24 BY BCC FINAL'!$B:$CO,85,FALSE),2),0)</f>
        <v>0</v>
      </c>
      <c r="D87" s="236"/>
      <c r="E87" s="237"/>
      <c r="F87" s="237"/>
      <c r="G87" s="237"/>
      <c r="H87" s="237"/>
      <c r="I87" s="237"/>
      <c r="J87" s="237"/>
      <c r="K87" s="237"/>
      <c r="L87" s="241"/>
      <c r="M87" s="242"/>
      <c r="N87" s="242"/>
      <c r="O87" s="240" t="s">
        <v>1190</v>
      </c>
    </row>
    <row r="88" spans="1:15" ht="15" customHeight="1" x14ac:dyDescent="0.25">
      <c r="A88" s="1" t="s">
        <v>99</v>
      </c>
      <c r="B88" s="2" t="s">
        <v>1261</v>
      </c>
      <c r="C88" s="180">
        <f>IFERROR(ROUND(VLOOKUP($E$3,'Outturn 2023-24 BY BCC FINAL'!$B:$CO,86,FALSE),2),0)</f>
        <v>0</v>
      </c>
      <c r="D88" s="236"/>
      <c r="E88" s="237"/>
      <c r="F88" s="237"/>
      <c r="G88" s="237"/>
      <c r="H88" s="237"/>
      <c r="I88" s="237"/>
      <c r="J88" s="237"/>
      <c r="K88" s="237"/>
      <c r="L88" s="242"/>
      <c r="M88" s="242"/>
      <c r="N88" s="242"/>
      <c r="O88" s="240" t="s">
        <v>1190</v>
      </c>
    </row>
    <row r="89" spans="1:15" ht="15" customHeight="1" x14ac:dyDescent="0.25">
      <c r="A89" s="1" t="s">
        <v>100</v>
      </c>
      <c r="B89" s="2" t="s">
        <v>1262</v>
      </c>
      <c r="C89" s="180">
        <f>IFERROR(ROUND(VLOOKUP($E$3,'Outturn 2023-24 BY BCC FINAL'!$B:$CO,87,FALSE),2),0)</f>
        <v>0</v>
      </c>
      <c r="D89" s="236"/>
      <c r="E89" s="237"/>
      <c r="F89" s="237"/>
      <c r="G89" s="237"/>
      <c r="H89" s="237"/>
      <c r="I89" s="237"/>
      <c r="J89" s="237"/>
      <c r="K89" s="237"/>
      <c r="L89" s="241"/>
      <c r="M89" s="242"/>
      <c r="N89" s="242"/>
      <c r="O89" s="240" t="s">
        <v>1190</v>
      </c>
    </row>
    <row r="90" spans="1:15" ht="15" customHeight="1" x14ac:dyDescent="0.25">
      <c r="A90" s="1" t="s">
        <v>101</v>
      </c>
      <c r="B90" s="2" t="s">
        <v>1263</v>
      </c>
      <c r="C90" s="180">
        <f>IFERROR(ROUND(VLOOKUP($E$3,'Outturn 2023-24 BY BCC FINAL'!$B:$CO,88,FALSE),2),0)</f>
        <v>0</v>
      </c>
      <c r="D90" s="236"/>
      <c r="E90" s="237"/>
      <c r="F90" s="237"/>
      <c r="G90" s="237"/>
      <c r="H90" s="237"/>
      <c r="I90" s="237"/>
      <c r="J90" s="237"/>
      <c r="K90" s="237"/>
      <c r="L90" s="241"/>
      <c r="M90" s="242"/>
      <c r="N90" s="242"/>
      <c r="O90" s="240" t="s">
        <v>1190</v>
      </c>
    </row>
    <row r="91" spans="1:15" ht="15" customHeight="1" x14ac:dyDescent="0.25">
      <c r="A91" s="450"/>
      <c r="B91" s="450"/>
      <c r="C91" s="172">
        <f t="shared" ref="C91:K91" si="8">SUM(C87:C90)</f>
        <v>0</v>
      </c>
      <c r="D91" s="172">
        <f t="shared" si="8"/>
        <v>0</v>
      </c>
      <c r="E91" s="172">
        <f t="shared" si="8"/>
        <v>0</v>
      </c>
      <c r="F91" s="172">
        <f t="shared" si="8"/>
        <v>0</v>
      </c>
      <c r="G91" s="172">
        <f t="shared" si="8"/>
        <v>0</v>
      </c>
      <c r="H91" s="172">
        <f t="shared" si="8"/>
        <v>0</v>
      </c>
      <c r="I91" s="172">
        <f t="shared" si="8"/>
        <v>0</v>
      </c>
      <c r="J91" s="172">
        <f t="shared" si="8"/>
        <v>0</v>
      </c>
      <c r="K91" s="172">
        <f t="shared" si="8"/>
        <v>0</v>
      </c>
      <c r="L91" s="4"/>
      <c r="M91" s="5"/>
      <c r="N91" s="5"/>
      <c r="O91" s="6"/>
    </row>
    <row r="92" spans="1:15" ht="12.75" customHeight="1" x14ac:dyDescent="0.25">
      <c r="C92" s="168"/>
      <c r="D92" s="168"/>
      <c r="E92" s="169"/>
      <c r="F92" s="169"/>
      <c r="G92" s="169"/>
      <c r="H92" s="169"/>
      <c r="I92" s="169"/>
      <c r="J92" s="169"/>
      <c r="K92" s="169"/>
    </row>
    <row r="93" spans="1:15" ht="15" customHeight="1" x14ac:dyDescent="0.25">
      <c r="A93" s="3" t="s">
        <v>1254</v>
      </c>
      <c r="B93" s="7"/>
      <c r="C93" s="172">
        <f t="shared" ref="C93" si="9">C84-C91</f>
        <v>0</v>
      </c>
      <c r="D93" s="172">
        <f t="shared" ref="D93:K93" si="10">D84-D91</f>
        <v>0</v>
      </c>
      <c r="E93" s="172">
        <f t="shared" si="10"/>
        <v>0</v>
      </c>
      <c r="F93" s="172">
        <f t="shared" si="10"/>
        <v>0</v>
      </c>
      <c r="G93" s="172">
        <f t="shared" si="10"/>
        <v>0</v>
      </c>
      <c r="H93" s="172">
        <f t="shared" si="10"/>
        <v>0</v>
      </c>
      <c r="I93" s="172">
        <f t="shared" si="10"/>
        <v>0</v>
      </c>
      <c r="J93" s="172">
        <f t="shared" si="10"/>
        <v>0</v>
      </c>
      <c r="K93" s="172">
        <f t="shared" si="10"/>
        <v>0</v>
      </c>
      <c r="L93" s="4"/>
      <c r="M93" s="5"/>
      <c r="N93" s="5"/>
      <c r="O93" s="6"/>
    </row>
    <row r="94" spans="1:15" ht="15" customHeight="1" x14ac:dyDescent="0.25">
      <c r="A94" s="3" t="s">
        <v>1255</v>
      </c>
      <c r="B94" s="7"/>
      <c r="C94" s="172">
        <f>C10+C11</f>
        <v>0</v>
      </c>
      <c r="D94" s="172">
        <f>D10+D11</f>
        <v>0</v>
      </c>
      <c r="E94" s="172">
        <f>E10+E11</f>
        <v>0</v>
      </c>
      <c r="F94" s="172">
        <f t="shared" ref="F94:K94" si="11">F10+F11</f>
        <v>0</v>
      </c>
      <c r="G94" s="172">
        <f t="shared" si="11"/>
        <v>0</v>
      </c>
      <c r="H94" s="172">
        <f t="shared" si="11"/>
        <v>0</v>
      </c>
      <c r="I94" s="172">
        <f t="shared" si="11"/>
        <v>0</v>
      </c>
      <c r="J94" s="172">
        <f t="shared" si="11"/>
        <v>0</v>
      </c>
      <c r="K94" s="172">
        <f t="shared" si="11"/>
        <v>0</v>
      </c>
      <c r="L94" s="4"/>
      <c r="M94" s="5"/>
      <c r="N94" s="5"/>
      <c r="O94" s="6"/>
    </row>
    <row r="95" spans="1:15" ht="15" customHeight="1" x14ac:dyDescent="0.25">
      <c r="A95" s="3" t="s">
        <v>1256</v>
      </c>
      <c r="B95" s="7"/>
      <c r="C95" s="172">
        <f t="shared" ref="C95" si="12">SUM(C93:C94)</f>
        <v>0</v>
      </c>
      <c r="D95" s="172">
        <f t="shared" ref="D95:K95" si="13">SUM(D93:D94)</f>
        <v>0</v>
      </c>
      <c r="E95" s="172">
        <f t="shared" si="13"/>
        <v>0</v>
      </c>
      <c r="F95" s="172">
        <f t="shared" si="13"/>
        <v>0</v>
      </c>
      <c r="G95" s="172">
        <f t="shared" si="13"/>
        <v>0</v>
      </c>
      <c r="H95" s="172">
        <f t="shared" si="13"/>
        <v>0</v>
      </c>
      <c r="I95" s="172">
        <f t="shared" si="13"/>
        <v>0</v>
      </c>
      <c r="J95" s="172">
        <f t="shared" si="13"/>
        <v>0</v>
      </c>
      <c r="K95" s="172">
        <f t="shared" si="13"/>
        <v>0</v>
      </c>
      <c r="L95" s="4"/>
      <c r="M95" s="5"/>
      <c r="N95" s="5"/>
      <c r="O95" s="6"/>
    </row>
    <row r="97" spans="2:4" ht="15" customHeight="1" x14ac:dyDescent="0.25"/>
    <row r="99" spans="2:4" ht="15" customHeight="1" x14ac:dyDescent="0.25"/>
    <row r="100" spans="2:4" ht="15" customHeight="1" x14ac:dyDescent="0.25"/>
    <row r="101" spans="2:4" ht="15" customHeight="1" x14ac:dyDescent="0.25"/>
    <row r="103" spans="2:4" ht="15" customHeight="1" x14ac:dyDescent="0.25">
      <c r="B103"/>
      <c r="C103"/>
      <c r="D103"/>
    </row>
    <row r="105" spans="2:4" ht="15" customHeight="1" x14ac:dyDescent="0.25">
      <c r="B105"/>
      <c r="C105"/>
      <c r="D105"/>
    </row>
  </sheetData>
  <mergeCells count="15">
    <mergeCell ref="A84:B84"/>
    <mergeCell ref="A91:B91"/>
    <mergeCell ref="A15:B15"/>
    <mergeCell ref="E15:K15"/>
    <mergeCell ref="E40:K40"/>
    <mergeCell ref="E80:K80"/>
    <mergeCell ref="A37:B37"/>
    <mergeCell ref="A74:B74"/>
    <mergeCell ref="E86:K86"/>
    <mergeCell ref="A7:B7"/>
    <mergeCell ref="A13:B13"/>
    <mergeCell ref="G4:I4"/>
    <mergeCell ref="J4:K4"/>
    <mergeCell ref="A1:B1"/>
    <mergeCell ref="B3:C3"/>
  </mergeCells>
  <pageMargins left="0.23622047244094491" right="0.23622047244094491" top="0.74803149606299213" bottom="0.74803149606299213" header="0.31496062992125984" footer="0.31496062992125984"/>
  <pageSetup paperSize="9" scale="57" fitToHeight="3" orientation="landscape" horizontalDpi="300" verticalDpi="300" r:id="rId1"/>
  <headerFooter alignWithMargins="0">
    <oddFooter>&amp;C_x000D_&amp;1#&amp;"Calibri"&amp;10&amp;K000000 OFFICIAL</oddFooter>
  </headerFooter>
  <rowBreaks count="2" manualBreakCount="2">
    <brk id="39" max="12" man="1"/>
    <brk id="78" max="1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84F362-C214-4B69-A082-EEB8D39B0AF5}">
          <x14:formula1>
            <xm:f>Lookup!$H$2:$H$5</xm:f>
          </x14:formula1>
          <xm:sqref>O8:O12 O16:O36 O41:O73 O81:O83 O87:O90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30D0-F9BD-4B40-BBE8-E39A772C31D7}">
  <sheetPr>
    <tabColor rgb="FF00B0F0"/>
  </sheetPr>
  <dimension ref="A1:I26"/>
  <sheetViews>
    <sheetView zoomScale="85" zoomScaleNormal="85" workbookViewId="0">
      <selection sqref="A1:E1"/>
    </sheetView>
  </sheetViews>
  <sheetFormatPr defaultRowHeight="12.5" x14ac:dyDescent="0.25"/>
  <cols>
    <col min="1" max="1" width="24.7265625" customWidth="1"/>
    <col min="2" max="9" width="29" customWidth="1"/>
  </cols>
  <sheetData>
    <row r="1" spans="1:9" ht="20" x14ac:dyDescent="0.25">
      <c r="A1" s="447" t="s">
        <v>1264</v>
      </c>
      <c r="B1" s="448"/>
      <c r="C1" s="448"/>
      <c r="D1" s="448"/>
      <c r="E1" s="448"/>
    </row>
    <row r="2" spans="1:9" ht="13" x14ac:dyDescent="0.25">
      <c r="A2" s="20"/>
    </row>
    <row r="3" spans="1:9" ht="13" x14ac:dyDescent="0.25">
      <c r="A3" s="22" t="s">
        <v>16</v>
      </c>
      <c r="B3" s="449" t="str">
        <f>Summary!C5</f>
        <v>Select School Name</v>
      </c>
      <c r="C3" s="449"/>
      <c r="D3" s="21" t="s">
        <v>1082</v>
      </c>
      <c r="E3" s="127" t="str">
        <f>Summary!C6</f>
        <v>-</v>
      </c>
    </row>
    <row r="4" spans="1:9" ht="13" thickBot="1" x14ac:dyDescent="0.3"/>
    <row r="5" spans="1:9" ht="13.5" thickBot="1" x14ac:dyDescent="0.3">
      <c r="A5" s="455" t="s">
        <v>1071</v>
      </c>
      <c r="B5" s="144">
        <v>45200</v>
      </c>
      <c r="C5" s="144">
        <v>45566</v>
      </c>
      <c r="D5" s="144">
        <v>45931</v>
      </c>
      <c r="E5" s="144">
        <v>46296</v>
      </c>
      <c r="F5" s="144">
        <v>46661</v>
      </c>
      <c r="G5" s="144">
        <v>47027</v>
      </c>
      <c r="H5" s="144">
        <v>47392</v>
      </c>
      <c r="I5" s="30" t="s">
        <v>1112</v>
      </c>
    </row>
    <row r="6" spans="1:9" ht="13.5" thickBot="1" x14ac:dyDescent="0.3">
      <c r="A6" s="456"/>
      <c r="B6" s="149"/>
      <c r="C6" s="149"/>
      <c r="D6" s="149"/>
      <c r="E6" s="149"/>
      <c r="F6" s="149"/>
      <c r="G6" s="149"/>
      <c r="H6" s="149"/>
      <c r="I6" s="243"/>
    </row>
    <row r="7" spans="1:9" ht="13" x14ac:dyDescent="0.25">
      <c r="A7" s="27"/>
      <c r="B7" s="28"/>
      <c r="C7" s="28"/>
      <c r="D7" s="28"/>
      <c r="E7" s="28"/>
      <c r="F7" s="28"/>
      <c r="G7" s="28"/>
      <c r="H7" s="28"/>
      <c r="I7" s="25"/>
    </row>
    <row r="8" spans="1:9" ht="13.5" thickBot="1" x14ac:dyDescent="0.3">
      <c r="A8" s="27"/>
      <c r="B8" s="28"/>
      <c r="C8" s="28"/>
      <c r="D8" s="28"/>
      <c r="E8" s="28"/>
      <c r="F8" s="28"/>
      <c r="G8" s="28"/>
      <c r="H8" s="28"/>
      <c r="I8" s="25"/>
    </row>
    <row r="9" spans="1:9" ht="46" customHeight="1" thickBot="1" x14ac:dyDescent="0.3">
      <c r="A9" s="26" t="s">
        <v>1265</v>
      </c>
      <c r="B9" s="140" t="s">
        <v>1085</v>
      </c>
      <c r="C9" s="140" t="s">
        <v>1086</v>
      </c>
      <c r="D9" s="140" t="s">
        <v>1087</v>
      </c>
      <c r="E9" s="140" t="s">
        <v>1088</v>
      </c>
      <c r="F9" s="140" t="s">
        <v>1089</v>
      </c>
      <c r="G9" s="140" t="s">
        <v>1090</v>
      </c>
      <c r="H9" s="141" t="s">
        <v>1091</v>
      </c>
      <c r="I9" s="30" t="s">
        <v>1112</v>
      </c>
    </row>
    <row r="10" spans="1:9" ht="13.5" thickBot="1" x14ac:dyDescent="0.3">
      <c r="A10" s="26" t="s">
        <v>1266</v>
      </c>
      <c r="B10" s="149"/>
      <c r="C10" s="149"/>
      <c r="D10" s="149"/>
      <c r="E10" s="149"/>
      <c r="F10" s="149"/>
      <c r="G10" s="149"/>
      <c r="H10" s="149"/>
      <c r="I10" s="31"/>
    </row>
    <row r="11" spans="1:9" ht="13.5" thickBot="1" x14ac:dyDescent="0.3">
      <c r="A11" s="26" t="s">
        <v>1267</v>
      </c>
      <c r="B11" s="149"/>
      <c r="C11" s="149"/>
      <c r="D11" s="149"/>
      <c r="E11" s="149"/>
      <c r="F11" s="149"/>
      <c r="G11" s="149"/>
      <c r="H11" s="149"/>
      <c r="I11" s="31"/>
    </row>
    <row r="12" spans="1:9" ht="13.5" thickBot="1" x14ac:dyDescent="0.3">
      <c r="A12" s="26" t="s">
        <v>1268</v>
      </c>
      <c r="B12" s="149"/>
      <c r="C12" s="149"/>
      <c r="D12" s="149"/>
      <c r="E12" s="149"/>
      <c r="F12" s="149"/>
      <c r="G12" s="149"/>
      <c r="H12" s="149"/>
      <c r="I12" s="31"/>
    </row>
    <row r="13" spans="1:9" ht="13.5" thickBot="1" x14ac:dyDescent="0.3">
      <c r="A13" s="26" t="s">
        <v>1269</v>
      </c>
      <c r="B13" s="149"/>
      <c r="C13" s="149"/>
      <c r="D13" s="149"/>
      <c r="E13" s="149"/>
      <c r="F13" s="149"/>
      <c r="G13" s="149"/>
      <c r="H13" s="149"/>
      <c r="I13" s="31"/>
    </row>
    <row r="14" spans="1:9" ht="13.5" thickBot="1" x14ac:dyDescent="0.3">
      <c r="A14" s="26" t="s">
        <v>1270</v>
      </c>
      <c r="B14" s="149"/>
      <c r="C14" s="149"/>
      <c r="D14" s="149"/>
      <c r="E14" s="149"/>
      <c r="F14" s="149"/>
      <c r="G14" s="149"/>
      <c r="H14" s="149"/>
      <c r="I14" s="31"/>
    </row>
    <row r="15" spans="1:9" ht="13.5" thickBot="1" x14ac:dyDescent="0.3">
      <c r="A15" s="26" t="s">
        <v>1271</v>
      </c>
      <c r="B15" s="149"/>
      <c r="C15" s="149"/>
      <c r="D15" s="149"/>
      <c r="E15" s="149"/>
      <c r="F15" s="149"/>
      <c r="G15" s="149"/>
      <c r="H15" s="149"/>
      <c r="I15" s="31"/>
    </row>
    <row r="16" spans="1:9" ht="13.5" thickBot="1" x14ac:dyDescent="0.3">
      <c r="A16" s="26" t="s">
        <v>1272</v>
      </c>
      <c r="B16" s="149"/>
      <c r="C16" s="149"/>
      <c r="D16" s="149"/>
      <c r="E16" s="149"/>
      <c r="F16" s="149"/>
      <c r="G16" s="149"/>
      <c r="H16" s="149"/>
      <c r="I16" s="31"/>
    </row>
    <row r="17" spans="1:9" ht="13.5" thickBot="1" x14ac:dyDescent="0.3">
      <c r="A17" s="26" t="s">
        <v>1273</v>
      </c>
      <c r="B17" s="149"/>
      <c r="C17" s="149"/>
      <c r="D17" s="149"/>
      <c r="E17" s="149"/>
      <c r="F17" s="149"/>
      <c r="G17" s="149"/>
      <c r="H17" s="149"/>
      <c r="I17" s="31"/>
    </row>
    <row r="18" spans="1:9" ht="13.5" thickBot="1" x14ac:dyDescent="0.3">
      <c r="A18" s="26" t="s">
        <v>1274</v>
      </c>
      <c r="B18" s="149"/>
      <c r="C18" s="149"/>
      <c r="D18" s="149"/>
      <c r="E18" s="149"/>
      <c r="F18" s="149"/>
      <c r="G18" s="149"/>
      <c r="H18" s="149"/>
      <c r="I18" s="31"/>
    </row>
    <row r="19" spans="1:9" ht="13.5" thickBot="1" x14ac:dyDescent="0.3">
      <c r="A19" s="26" t="s">
        <v>1275</v>
      </c>
      <c r="B19" s="149"/>
      <c r="C19" s="149"/>
      <c r="D19" s="149"/>
      <c r="E19" s="149"/>
      <c r="F19" s="149"/>
      <c r="G19" s="149"/>
      <c r="H19" s="149"/>
      <c r="I19" s="31"/>
    </row>
    <row r="20" spans="1:9" ht="13.5" thickBot="1" x14ac:dyDescent="0.3">
      <c r="A20" s="26" t="s">
        <v>1276</v>
      </c>
      <c r="B20" s="149"/>
      <c r="C20" s="149"/>
      <c r="D20" s="149"/>
      <c r="E20" s="149"/>
      <c r="F20" s="149"/>
      <c r="G20" s="149"/>
      <c r="H20" s="149"/>
      <c r="I20" s="31"/>
    </row>
    <row r="21" spans="1:9" ht="13.5" thickBot="1" x14ac:dyDescent="0.3">
      <c r="A21" s="26" t="s">
        <v>1277</v>
      </c>
      <c r="B21" s="149"/>
      <c r="C21" s="149"/>
      <c r="D21" s="149"/>
      <c r="E21" s="149"/>
      <c r="F21" s="149"/>
      <c r="G21" s="149"/>
      <c r="H21" s="149"/>
      <c r="I21" s="31"/>
    </row>
    <row r="22" spans="1:9" ht="13.5" thickBot="1" x14ac:dyDescent="0.3">
      <c r="A22" s="26" t="s">
        <v>1278</v>
      </c>
      <c r="B22" s="149"/>
      <c r="C22" s="149"/>
      <c r="D22" s="149"/>
      <c r="E22" s="149"/>
      <c r="F22" s="149"/>
      <c r="G22" s="149"/>
      <c r="H22" s="149"/>
      <c r="I22" s="31"/>
    </row>
    <row r="23" spans="1:9" ht="13.5" thickBot="1" x14ac:dyDescent="0.3">
      <c r="A23" s="26" t="s">
        <v>1279</v>
      </c>
      <c r="B23" s="149"/>
      <c r="C23" s="149"/>
      <c r="D23" s="149"/>
      <c r="E23" s="149"/>
      <c r="F23" s="149"/>
      <c r="G23" s="149"/>
      <c r="H23" s="149"/>
      <c r="I23" s="31"/>
    </row>
    <row r="24" spans="1:9" ht="13.5" thickBot="1" x14ac:dyDescent="0.3">
      <c r="A24" s="26" t="s">
        <v>1280</v>
      </c>
      <c r="B24" s="149"/>
      <c r="C24" s="149"/>
      <c r="D24" s="149"/>
      <c r="E24" s="149"/>
      <c r="F24" s="149"/>
      <c r="G24" s="149"/>
      <c r="H24" s="149"/>
      <c r="I24" s="31"/>
    </row>
    <row r="25" spans="1:9" ht="13.5" thickBot="1" x14ac:dyDescent="0.3">
      <c r="A25" s="26" t="s">
        <v>1281</v>
      </c>
      <c r="B25" s="149"/>
      <c r="C25" s="149"/>
      <c r="D25" s="149"/>
      <c r="E25" s="149"/>
      <c r="F25" s="149"/>
      <c r="G25" s="149"/>
      <c r="H25" s="149"/>
      <c r="I25" s="31"/>
    </row>
    <row r="26" spans="1:9" ht="13.5" thickBot="1" x14ac:dyDescent="0.3">
      <c r="A26" s="26" t="s">
        <v>1282</v>
      </c>
      <c r="B26" s="149">
        <f>SUM(B10:B25)</f>
        <v>0</v>
      </c>
      <c r="C26" s="149">
        <f t="shared" ref="C26:H26" si="0">SUM(C10:C25)</f>
        <v>0</v>
      </c>
      <c r="D26" s="149">
        <f t="shared" si="0"/>
        <v>0</v>
      </c>
      <c r="E26" s="149">
        <f t="shared" si="0"/>
        <v>0</v>
      </c>
      <c r="F26" s="149">
        <f t="shared" si="0"/>
        <v>0</v>
      </c>
      <c r="G26" s="149">
        <f t="shared" si="0"/>
        <v>0</v>
      </c>
      <c r="H26" s="149">
        <f t="shared" si="0"/>
        <v>0</v>
      </c>
      <c r="I26" s="31"/>
    </row>
  </sheetData>
  <mergeCells count="3">
    <mergeCell ref="B3:C3"/>
    <mergeCell ref="A5:A6"/>
    <mergeCell ref="A1:E1"/>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E8F7-8F6B-4C73-A99E-F3C6490D8546}">
  <sheetPr codeName="Sheet6">
    <tabColor theme="6" tint="0.39997558519241921"/>
  </sheetPr>
  <dimension ref="A1:T18"/>
  <sheetViews>
    <sheetView zoomScale="80" zoomScaleNormal="80" workbookViewId="0">
      <selection activeCell="K7" sqref="K7"/>
    </sheetView>
  </sheetViews>
  <sheetFormatPr defaultRowHeight="12.5" x14ac:dyDescent="0.25"/>
  <cols>
    <col min="1" max="1" width="15.1796875" customWidth="1"/>
    <col min="2" max="2" width="45" customWidth="1"/>
    <col min="3" max="8" width="10.7265625" customWidth="1"/>
    <col min="9" max="9" width="1.7265625" customWidth="1"/>
    <col min="10" max="15" width="10.7265625" customWidth="1"/>
    <col min="16" max="16" width="1.7265625" customWidth="1"/>
    <col min="17" max="17" width="34.81640625" bestFit="1" customWidth="1"/>
    <col min="18" max="19" width="42.453125" customWidth="1"/>
    <col min="20" max="20" width="13.26953125" customWidth="1"/>
  </cols>
  <sheetData>
    <row r="1" spans="1:20" s="57" customFormat="1" ht="20" x14ac:dyDescent="0.25">
      <c r="A1" s="447" t="s">
        <v>1283</v>
      </c>
      <c r="B1" s="448"/>
    </row>
    <row r="2" spans="1:20" ht="13" x14ac:dyDescent="0.25">
      <c r="A2" s="20"/>
    </row>
    <row r="3" spans="1:20" ht="13" x14ac:dyDescent="0.25">
      <c r="A3" s="22" t="s">
        <v>16</v>
      </c>
      <c r="B3" s="449" t="str">
        <f>Summary!C5</f>
        <v>Select School Name</v>
      </c>
      <c r="C3" s="449"/>
      <c r="D3" s="21" t="s">
        <v>1082</v>
      </c>
      <c r="E3" s="127" t="str">
        <f>Summary!C6</f>
        <v>-</v>
      </c>
    </row>
    <row r="5" spans="1:20" ht="13" x14ac:dyDescent="0.25">
      <c r="C5" s="457" t="s">
        <v>1284</v>
      </c>
      <c r="D5" s="457"/>
      <c r="E5" s="457"/>
      <c r="F5" s="457"/>
      <c r="G5" s="457"/>
      <c r="H5" s="457"/>
      <c r="J5" s="457" t="s">
        <v>1285</v>
      </c>
      <c r="K5" s="457"/>
      <c r="L5" s="457"/>
      <c r="M5" s="457"/>
      <c r="N5" s="457"/>
      <c r="O5" s="457"/>
    </row>
    <row r="6" spans="1:20" s="9" customFormat="1" ht="26" x14ac:dyDescent="0.25">
      <c r="A6" s="49" t="s">
        <v>1057</v>
      </c>
      <c r="B6" s="49" t="s">
        <v>1174</v>
      </c>
      <c r="C6" s="49" t="s">
        <v>1286</v>
      </c>
      <c r="D6" s="49" t="s">
        <v>1287</v>
      </c>
      <c r="E6" s="49" t="s">
        <v>1288</v>
      </c>
      <c r="F6" s="49" t="s">
        <v>1289</v>
      </c>
      <c r="G6" s="49" t="s">
        <v>1290</v>
      </c>
      <c r="H6" s="49" t="s">
        <v>1291</v>
      </c>
      <c r="J6" s="49" t="s">
        <v>1286</v>
      </c>
      <c r="K6" s="49" t="s">
        <v>1287</v>
      </c>
      <c r="L6" s="49" t="s">
        <v>1288</v>
      </c>
      <c r="M6" s="49" t="s">
        <v>1289</v>
      </c>
      <c r="N6" s="49" t="s">
        <v>1290</v>
      </c>
      <c r="O6" s="49" t="s">
        <v>1291</v>
      </c>
      <c r="Q6" s="13" t="s">
        <v>1184</v>
      </c>
      <c r="R6" s="49" t="s">
        <v>1185</v>
      </c>
      <c r="S6" s="49" t="s">
        <v>1186</v>
      </c>
      <c r="T6" s="49" t="s">
        <v>1187</v>
      </c>
    </row>
    <row r="7" spans="1:20" ht="14.5" x14ac:dyDescent="0.35">
      <c r="A7" s="50" t="s">
        <v>61</v>
      </c>
      <c r="B7" s="51" t="s">
        <v>1113</v>
      </c>
      <c r="C7" s="238"/>
      <c r="D7" s="238"/>
      <c r="E7" s="238"/>
      <c r="F7" s="238"/>
      <c r="G7" s="238"/>
      <c r="H7" s="238"/>
      <c r="J7" s="238"/>
      <c r="K7" s="238"/>
      <c r="L7" s="238"/>
      <c r="M7" s="238"/>
      <c r="N7" s="238"/>
      <c r="O7" s="238"/>
      <c r="Q7" s="270"/>
      <c r="R7" s="271"/>
      <c r="S7" s="238"/>
      <c r="T7" s="238"/>
    </row>
    <row r="8" spans="1:20" ht="14.5" x14ac:dyDescent="0.35">
      <c r="A8" s="50" t="s">
        <v>63</v>
      </c>
      <c r="B8" s="51" t="s">
        <v>1114</v>
      </c>
      <c r="C8" s="238"/>
      <c r="D8" s="238"/>
      <c r="E8" s="238"/>
      <c r="F8" s="238"/>
      <c r="G8" s="238"/>
      <c r="H8" s="238"/>
      <c r="J8" s="238"/>
      <c r="K8" s="238"/>
      <c r="L8" s="238"/>
      <c r="M8" s="238"/>
      <c r="N8" s="238"/>
      <c r="O8" s="238"/>
      <c r="Q8" s="270"/>
      <c r="R8" s="271"/>
      <c r="S8" s="238"/>
      <c r="T8" s="238"/>
    </row>
    <row r="9" spans="1:20" ht="14.5" x14ac:dyDescent="0.35">
      <c r="A9" s="50" t="s">
        <v>61</v>
      </c>
      <c r="B9" s="51" t="s">
        <v>1115</v>
      </c>
      <c r="C9" s="238"/>
      <c r="D9" s="238"/>
      <c r="E9" s="238"/>
      <c r="F9" s="238"/>
      <c r="G9" s="238"/>
      <c r="H9" s="238"/>
      <c r="J9" s="238"/>
      <c r="K9" s="238"/>
      <c r="L9" s="238"/>
      <c r="M9" s="238"/>
      <c r="N9" s="238"/>
      <c r="O9" s="238"/>
      <c r="Q9" s="270"/>
      <c r="R9" s="271"/>
      <c r="S9" s="238"/>
      <c r="T9" s="238"/>
    </row>
    <row r="10" spans="1:20" ht="14.5" x14ac:dyDescent="0.35">
      <c r="A10" s="50" t="s">
        <v>65</v>
      </c>
      <c r="B10" s="51" t="s">
        <v>1116</v>
      </c>
      <c r="C10" s="238"/>
      <c r="D10" s="238"/>
      <c r="E10" s="238"/>
      <c r="F10" s="238"/>
      <c r="G10" s="238"/>
      <c r="H10" s="238"/>
      <c r="J10" s="238"/>
      <c r="K10" s="238"/>
      <c r="L10" s="238"/>
      <c r="M10" s="238"/>
      <c r="N10" s="238"/>
      <c r="O10" s="238"/>
      <c r="Q10" s="270"/>
      <c r="R10" s="271"/>
      <c r="S10" s="238"/>
      <c r="T10" s="238"/>
    </row>
    <row r="11" spans="1:20" ht="14.5" x14ac:dyDescent="0.35">
      <c r="A11" s="50" t="s">
        <v>64</v>
      </c>
      <c r="B11" s="51" t="s">
        <v>1117</v>
      </c>
      <c r="C11" s="238"/>
      <c r="D11" s="238"/>
      <c r="E11" s="238"/>
      <c r="F11" s="238"/>
      <c r="G11" s="238"/>
      <c r="H11" s="238"/>
      <c r="J11" s="238"/>
      <c r="K11" s="238"/>
      <c r="L11" s="238"/>
      <c r="M11" s="238"/>
      <c r="N11" s="238"/>
      <c r="O11" s="238"/>
      <c r="Q11" s="270"/>
      <c r="R11" s="271"/>
      <c r="S11" s="238"/>
      <c r="T11" s="238"/>
    </row>
    <row r="12" spans="1:20" ht="14.5" x14ac:dyDescent="0.35">
      <c r="A12" s="50" t="s">
        <v>64</v>
      </c>
      <c r="B12" s="51" t="s">
        <v>1118</v>
      </c>
      <c r="C12" s="238"/>
      <c r="D12" s="238"/>
      <c r="E12" s="238"/>
      <c r="F12" s="238"/>
      <c r="G12" s="238"/>
      <c r="H12" s="238"/>
      <c r="J12" s="238"/>
      <c r="K12" s="238"/>
      <c r="L12" s="238"/>
      <c r="M12" s="238"/>
      <c r="N12" s="238"/>
      <c r="O12" s="238"/>
      <c r="Q12" s="270"/>
      <c r="R12" s="271"/>
      <c r="S12" s="238"/>
      <c r="T12" s="238"/>
    </row>
    <row r="13" spans="1:20" ht="14.5" x14ac:dyDescent="0.35">
      <c r="A13" s="50" t="s">
        <v>66</v>
      </c>
      <c r="B13" s="51" t="s">
        <v>1119</v>
      </c>
      <c r="C13" s="238"/>
      <c r="D13" s="238"/>
      <c r="E13" s="238"/>
      <c r="F13" s="238"/>
      <c r="G13" s="238"/>
      <c r="H13" s="238"/>
      <c r="J13" s="238"/>
      <c r="K13" s="238"/>
      <c r="L13" s="238"/>
      <c r="M13" s="238"/>
      <c r="N13" s="238"/>
      <c r="O13" s="238"/>
      <c r="Q13" s="270"/>
      <c r="R13" s="271"/>
      <c r="S13" s="238"/>
      <c r="T13" s="238"/>
    </row>
    <row r="14" spans="1:20" ht="14.5" x14ac:dyDescent="0.35">
      <c r="A14" s="50" t="s">
        <v>67</v>
      </c>
      <c r="B14" s="51" t="s">
        <v>1120</v>
      </c>
      <c r="C14" s="238"/>
      <c r="D14" s="238"/>
      <c r="E14" s="238"/>
      <c r="F14" s="238"/>
      <c r="G14" s="238"/>
      <c r="H14" s="238"/>
      <c r="J14" s="238"/>
      <c r="K14" s="238"/>
      <c r="L14" s="238"/>
      <c r="M14" s="238"/>
      <c r="N14" s="238"/>
      <c r="O14" s="238"/>
      <c r="Q14" s="270"/>
      <c r="R14" s="271"/>
      <c r="S14" s="238"/>
      <c r="T14" s="238"/>
    </row>
    <row r="15" spans="1:20" ht="14.5" x14ac:dyDescent="0.35">
      <c r="A15" s="50"/>
      <c r="B15" s="51" t="s">
        <v>1121</v>
      </c>
      <c r="C15" s="238"/>
      <c r="D15" s="238"/>
      <c r="E15" s="238"/>
      <c r="F15" s="238"/>
      <c r="G15" s="238"/>
      <c r="H15" s="238"/>
      <c r="J15" s="238"/>
      <c r="K15" s="238"/>
      <c r="L15" s="238"/>
      <c r="M15" s="238"/>
      <c r="N15" s="238"/>
      <c r="O15" s="238"/>
      <c r="Q15" s="238"/>
      <c r="R15" s="271"/>
      <c r="S15" s="238"/>
      <c r="T15" s="238"/>
    </row>
    <row r="16" spans="1:20" ht="14.5" x14ac:dyDescent="0.35">
      <c r="A16" s="50"/>
      <c r="B16" s="51" t="s">
        <v>1121</v>
      </c>
      <c r="C16" s="238"/>
      <c r="D16" s="238"/>
      <c r="E16" s="238"/>
      <c r="F16" s="238"/>
      <c r="G16" s="238"/>
      <c r="H16" s="238"/>
      <c r="J16" s="238"/>
      <c r="K16" s="238"/>
      <c r="L16" s="238"/>
      <c r="M16" s="238"/>
      <c r="N16" s="238"/>
      <c r="O16" s="238"/>
      <c r="Q16" s="238"/>
      <c r="R16" s="238"/>
      <c r="S16" s="238"/>
      <c r="T16" s="238"/>
    </row>
    <row r="17" spans="1:15" ht="14.5" x14ac:dyDescent="0.35">
      <c r="A17" s="50"/>
      <c r="B17" s="51" t="s">
        <v>1121</v>
      </c>
      <c r="C17" s="238"/>
      <c r="D17" s="238"/>
      <c r="E17" s="238"/>
      <c r="F17" s="238"/>
      <c r="G17" s="238"/>
      <c r="H17" s="238"/>
      <c r="J17" s="238"/>
      <c r="K17" s="238"/>
      <c r="L17" s="238"/>
      <c r="M17" s="238"/>
      <c r="N17" s="238"/>
      <c r="O17" s="238"/>
    </row>
    <row r="18" spans="1:15" s="20" customFormat="1" ht="13" x14ac:dyDescent="0.25">
      <c r="A18" s="50"/>
      <c r="B18" s="50" t="s">
        <v>1282</v>
      </c>
      <c r="C18" s="50">
        <f>SUM(C7:C16)</f>
        <v>0</v>
      </c>
      <c r="D18" s="50">
        <f t="shared" ref="D18:H18" si="0">SUM(D7:D16)</f>
        <v>0</v>
      </c>
      <c r="E18" s="50">
        <f t="shared" si="0"/>
        <v>0</v>
      </c>
      <c r="F18" s="50">
        <f t="shared" si="0"/>
        <v>0</v>
      </c>
      <c r="G18" s="50">
        <f t="shared" si="0"/>
        <v>0</v>
      </c>
      <c r="H18" s="50">
        <f t="shared" si="0"/>
        <v>0</v>
      </c>
      <c r="J18" s="50">
        <f>SUM(J7:J16)</f>
        <v>0</v>
      </c>
      <c r="K18" s="50">
        <f t="shared" ref="K18:O18" si="1">SUM(K7:K16)</f>
        <v>0</v>
      </c>
      <c r="L18" s="50">
        <f t="shared" si="1"/>
        <v>0</v>
      </c>
      <c r="M18" s="50">
        <f t="shared" si="1"/>
        <v>0</v>
      </c>
      <c r="N18" s="50">
        <f t="shared" si="1"/>
        <v>0</v>
      </c>
      <c r="O18" s="50">
        <f t="shared" si="1"/>
        <v>0</v>
      </c>
    </row>
  </sheetData>
  <sortState xmlns:xlrd2="http://schemas.microsoft.com/office/spreadsheetml/2017/richdata2" ref="A7:B16">
    <sortCondition ref="A7:A16"/>
  </sortState>
  <mergeCells count="4">
    <mergeCell ref="C5:H5"/>
    <mergeCell ref="J5:O5"/>
    <mergeCell ref="A1:B1"/>
    <mergeCell ref="B3:C3"/>
  </mergeCells>
  <conditionalFormatting sqref="T7:T17">
    <cfRule type="containsText" dxfId="15" priority="46" operator="containsText" text="Green">
      <formula>NOT(ISERROR(SEARCH("Green",T7)))</formula>
    </cfRule>
    <cfRule type="containsText" dxfId="14" priority="47" operator="containsText" text="Red">
      <formula>NOT(ISERROR(SEARCH("Red",T7)))</formula>
    </cfRule>
    <cfRule type="containsText" dxfId="13" priority="48" operator="containsText" text="Amber">
      <formula>NOT(ISERROR(SEARCH("Amber",T7)))</formula>
    </cfRule>
    <cfRule type="colorScale" priority="49">
      <colorScale>
        <cfvo type="min"/>
        <cfvo type="max"/>
        <color rgb="FFFF0000"/>
        <color rgb="FFFFEF9C"/>
      </colorScale>
    </cfRule>
  </conditionalFormatting>
  <pageMargins left="0.7" right="0.7" top="0.75" bottom="0.75" header="0.3" footer="0.3"/>
  <pageSetup paperSize="9" orientation="portrait" r:id="rId1"/>
  <headerFoot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CAD52AA-1622-4F88-8067-D29253BC6B0B}">
          <x14:formula1>
            <xm:f>Lookup!$H$3:$H$5</xm:f>
          </x14:formula1>
          <xm:sqref>T7:T17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9967-3E10-450D-BCED-3C28892BA35F}">
  <sheetPr>
    <tabColor rgb="FFD2ECB6"/>
  </sheetPr>
  <dimension ref="A1:K7"/>
  <sheetViews>
    <sheetView topLeftCell="C2" workbookViewId="0">
      <selection activeCell="C2" sqref="C2"/>
    </sheetView>
  </sheetViews>
  <sheetFormatPr defaultColWidth="9.453125" defaultRowHeight="14.5" x14ac:dyDescent="0.25"/>
  <cols>
    <col min="1" max="1" width="21.453125" style="279" customWidth="1"/>
    <col min="2" max="2" width="28.54296875" style="279" customWidth="1"/>
    <col min="3" max="4" width="9.453125" style="279"/>
    <col min="5" max="5" width="11.54296875" style="279" customWidth="1"/>
    <col min="6" max="16384" width="9.453125" style="279"/>
  </cols>
  <sheetData>
    <row r="1" spans="1:11" x14ac:dyDescent="0.25">
      <c r="A1" s="458" t="s">
        <v>1292</v>
      </c>
      <c r="B1" s="458"/>
      <c r="C1" s="458"/>
    </row>
    <row r="2" spans="1:11" s="57" customFormat="1" ht="20" x14ac:dyDescent="0.25">
      <c r="A2" s="447" t="s">
        <v>1293</v>
      </c>
      <c r="B2" s="448"/>
    </row>
    <row r="3" spans="1:11" customFormat="1" ht="13" x14ac:dyDescent="0.25">
      <c r="A3" s="20"/>
    </row>
    <row r="4" spans="1:11" customFormat="1" ht="13" x14ac:dyDescent="0.25">
      <c r="A4" s="22" t="s">
        <v>16</v>
      </c>
      <c r="B4" s="449" t="str">
        <f>Summary!C6</f>
        <v>-</v>
      </c>
      <c r="C4" s="449"/>
      <c r="D4" s="21" t="s">
        <v>1082</v>
      </c>
      <c r="E4" s="127">
        <f>Summary!C7</f>
        <v>0</v>
      </c>
    </row>
    <row r="5" spans="1:11" x14ac:dyDescent="0.25">
      <c r="A5" s="280"/>
      <c r="B5" s="278"/>
      <c r="C5" s="278"/>
      <c r="J5" s="459"/>
      <c r="K5" s="459"/>
    </row>
    <row r="6" spans="1:11" x14ac:dyDescent="0.25">
      <c r="A6" s="281"/>
      <c r="B6" s="282"/>
      <c r="C6" s="283"/>
    </row>
    <row r="7" spans="1:11" x14ac:dyDescent="0.25">
      <c r="A7" s="458"/>
      <c r="B7" s="458"/>
      <c r="C7" s="458"/>
    </row>
  </sheetData>
  <mergeCells count="5">
    <mergeCell ref="A1:C1"/>
    <mergeCell ref="J5:K5"/>
    <mergeCell ref="A7:C7"/>
    <mergeCell ref="A2:B2"/>
    <mergeCell ref="B4:C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3B0B-1BF7-4061-9443-D141BD2C801A}">
  <sheetPr>
    <tabColor rgb="FFD2ECB6"/>
  </sheetPr>
  <dimension ref="A1:AA81"/>
  <sheetViews>
    <sheetView tabSelected="1" topLeftCell="C2" workbookViewId="0">
      <selection activeCell="C2" sqref="C2"/>
    </sheetView>
  </sheetViews>
  <sheetFormatPr defaultColWidth="9.453125" defaultRowHeight="14.5" x14ac:dyDescent="0.25"/>
  <cols>
    <col min="1" max="1" width="42.7265625" style="279" customWidth="1"/>
    <col min="2" max="4" width="9.453125" style="279"/>
    <col min="5" max="5" width="10.1796875" style="279" customWidth="1"/>
    <col min="6" max="21" width="9.453125" style="279"/>
    <col min="22" max="22" width="9.54296875" style="279" bestFit="1" customWidth="1"/>
    <col min="23" max="23" width="10.1796875" style="279" bestFit="1" customWidth="1"/>
    <col min="24" max="24" width="9.453125" style="279"/>
    <col min="25" max="25" width="11.1796875" style="279" bestFit="1" customWidth="1"/>
    <col min="26" max="26" width="9.453125" style="279"/>
    <col min="27" max="27" width="9.54296875" style="279" bestFit="1" customWidth="1"/>
    <col min="28" max="16384" width="9.453125" style="279"/>
  </cols>
  <sheetData>
    <row r="1" spans="1:22" x14ac:dyDescent="0.35">
      <c r="A1" s="458" t="s">
        <v>1294</v>
      </c>
      <c r="B1" s="458"/>
      <c r="C1" s="458"/>
      <c r="U1" s="289"/>
      <c r="V1" s="289"/>
    </row>
    <row r="2" spans="1:22" s="57" customFormat="1" ht="20" x14ac:dyDescent="0.25">
      <c r="A2" s="447" t="s">
        <v>1295</v>
      </c>
      <c r="B2" s="448"/>
    </row>
    <row r="3" spans="1:22" customFormat="1" ht="13" x14ac:dyDescent="0.25">
      <c r="A3" s="20"/>
    </row>
    <row r="4" spans="1:22" customFormat="1" ht="13" x14ac:dyDescent="0.25">
      <c r="A4" s="22" t="s">
        <v>16</v>
      </c>
      <c r="B4" s="449" t="str">
        <f>Summary!C6</f>
        <v>-</v>
      </c>
      <c r="C4" s="449"/>
      <c r="D4" s="21" t="s">
        <v>1082</v>
      </c>
      <c r="E4" s="127">
        <f>Summary!C7</f>
        <v>0</v>
      </c>
    </row>
    <row r="5" spans="1:22" x14ac:dyDescent="0.35">
      <c r="A5" s="278"/>
      <c r="B5" s="278"/>
      <c r="C5" s="278"/>
      <c r="U5" s="289"/>
      <c r="V5" s="289"/>
    </row>
    <row r="6" spans="1:22" x14ac:dyDescent="0.35">
      <c r="A6" s="280"/>
      <c r="B6" s="278"/>
      <c r="C6" s="278"/>
      <c r="J6" s="459" t="s">
        <v>1296</v>
      </c>
      <c r="K6" s="459"/>
      <c r="U6" s="289"/>
      <c r="V6" s="289"/>
    </row>
    <row r="7" spans="1:22" x14ac:dyDescent="0.35">
      <c r="A7" s="281"/>
      <c r="B7" s="282"/>
      <c r="C7" s="283"/>
      <c r="U7" s="289"/>
      <c r="V7" s="289"/>
    </row>
    <row r="8" spans="1:22" x14ac:dyDescent="0.25">
      <c r="A8" s="458"/>
      <c r="B8" s="458"/>
      <c r="C8" s="458"/>
    </row>
    <row r="9" spans="1:22" x14ac:dyDescent="0.25">
      <c r="A9" s="278"/>
      <c r="B9" s="278"/>
      <c r="C9" s="278"/>
    </row>
    <row r="10" spans="1:22" x14ac:dyDescent="0.25">
      <c r="A10" s="284"/>
      <c r="B10" s="285"/>
      <c r="C10" s="286"/>
    </row>
    <row r="11" spans="1:22" x14ac:dyDescent="0.25">
      <c r="A11" s="284"/>
      <c r="B11" s="285"/>
      <c r="C11" s="286"/>
      <c r="U11" s="287" t="s">
        <v>1296</v>
      </c>
    </row>
    <row r="12" spans="1:22" x14ac:dyDescent="0.25">
      <c r="A12" s="284"/>
      <c r="B12" s="285"/>
      <c r="C12" s="286"/>
      <c r="U12" s="279" t="s">
        <v>1297</v>
      </c>
      <c r="V12" s="290"/>
    </row>
    <row r="13" spans="1:22" x14ac:dyDescent="0.25">
      <c r="A13" s="284"/>
      <c r="B13" s="285"/>
      <c r="C13" s="286"/>
      <c r="U13" s="279" t="s">
        <v>1298</v>
      </c>
      <c r="V13" s="290"/>
    </row>
    <row r="14" spans="1:22" x14ac:dyDescent="0.25">
      <c r="A14" s="284"/>
      <c r="B14" s="285"/>
      <c r="C14" s="286"/>
      <c r="U14" s="279" t="s">
        <v>1299</v>
      </c>
      <c r="V14" s="290"/>
    </row>
    <row r="15" spans="1:22" x14ac:dyDescent="0.25">
      <c r="A15" s="284"/>
      <c r="B15" s="285"/>
      <c r="C15" s="286"/>
      <c r="P15" s="287" t="s">
        <v>1300</v>
      </c>
      <c r="V15" s="291">
        <f>SUM(V12:V14)</f>
        <v>0</v>
      </c>
    </row>
    <row r="18" spans="20:27" x14ac:dyDescent="0.25">
      <c r="T18" s="287" t="s">
        <v>1301</v>
      </c>
      <c r="Y18" s="287" t="s">
        <v>1302</v>
      </c>
    </row>
    <row r="19" spans="20:27" x14ac:dyDescent="0.25">
      <c r="T19" s="279" t="s">
        <v>1303</v>
      </c>
      <c r="W19" s="290"/>
      <c r="Y19" s="279" t="s">
        <v>1304</v>
      </c>
      <c r="AA19" s="290"/>
    </row>
    <row r="20" spans="20:27" x14ac:dyDescent="0.35">
      <c r="T20" s="289" t="s">
        <v>1305</v>
      </c>
      <c r="U20" s="289"/>
      <c r="V20" s="289"/>
      <c r="W20" s="292"/>
      <c r="Y20" s="279" t="s">
        <v>1306</v>
      </c>
      <c r="AA20" s="290"/>
    </row>
    <row r="21" spans="20:27" x14ac:dyDescent="0.25">
      <c r="T21" s="279" t="s">
        <v>1307</v>
      </c>
      <c r="W21" s="290"/>
      <c r="Y21" s="279" t="s">
        <v>1308</v>
      </c>
      <c r="AA21" s="290"/>
    </row>
    <row r="22" spans="20:27" x14ac:dyDescent="0.35">
      <c r="W22" s="291">
        <f>SUM(W19:W21)</f>
        <v>0</v>
      </c>
      <c r="Y22" s="279" t="s">
        <v>1309</v>
      </c>
      <c r="Z22" s="289"/>
      <c r="AA22" s="290"/>
    </row>
    <row r="23" spans="20:27" x14ac:dyDescent="0.35">
      <c r="T23" s="289"/>
      <c r="U23" s="289"/>
      <c r="V23" s="289"/>
      <c r="W23" s="289"/>
      <c r="Y23" s="279" t="s">
        <v>1310</v>
      </c>
      <c r="Z23" s="289"/>
      <c r="AA23" s="292"/>
    </row>
    <row r="24" spans="20:27" x14ac:dyDescent="0.25">
      <c r="T24" s="287" t="s">
        <v>1311</v>
      </c>
      <c r="AA24" s="291">
        <f>SUM(AA19:AA23)</f>
        <v>0</v>
      </c>
    </row>
    <row r="25" spans="20:27" x14ac:dyDescent="0.25">
      <c r="T25" s="279" t="s">
        <v>1312</v>
      </c>
      <c r="W25" s="290"/>
    </row>
    <row r="26" spans="20:27" x14ac:dyDescent="0.25">
      <c r="T26" s="279" t="s">
        <v>1313</v>
      </c>
      <c r="W26" s="290"/>
      <c r="Y26" s="287" t="s">
        <v>1314</v>
      </c>
    </row>
    <row r="27" spans="20:27" x14ac:dyDescent="0.25">
      <c r="T27" s="279" t="s">
        <v>1313</v>
      </c>
      <c r="W27" s="290"/>
      <c r="Y27" s="279" t="s">
        <v>1315</v>
      </c>
      <c r="AA27" s="290"/>
    </row>
    <row r="28" spans="20:27" x14ac:dyDescent="0.25">
      <c r="T28" s="279" t="s">
        <v>1316</v>
      </c>
      <c r="W28" s="290"/>
      <c r="Y28" s="279" t="s">
        <v>1315</v>
      </c>
      <c r="AA28" s="290"/>
    </row>
    <row r="29" spans="20:27" x14ac:dyDescent="0.25">
      <c r="T29" s="279" t="s">
        <v>1317</v>
      </c>
      <c r="W29" s="290"/>
      <c r="Y29" s="279" t="s">
        <v>1318</v>
      </c>
      <c r="AA29" s="290"/>
    </row>
    <row r="30" spans="20:27" x14ac:dyDescent="0.25">
      <c r="W30" s="291">
        <f>SUM(W25:W29)</f>
        <v>0</v>
      </c>
      <c r="Y30" s="279" t="s">
        <v>1318</v>
      </c>
      <c r="AA30" s="290"/>
    </row>
    <row r="31" spans="20:27" x14ac:dyDescent="0.25">
      <c r="Y31" s="279" t="s">
        <v>1318</v>
      </c>
      <c r="AA31" s="290"/>
    </row>
    <row r="32" spans="20:27" x14ac:dyDescent="0.25">
      <c r="Y32" s="279" t="s">
        <v>1319</v>
      </c>
      <c r="AA32" s="290"/>
    </row>
    <row r="33" spans="8:27" x14ac:dyDescent="0.25">
      <c r="T33" s="279" t="s">
        <v>1320</v>
      </c>
      <c r="Y33" s="279" t="s">
        <v>1321</v>
      </c>
      <c r="AA33" s="290"/>
    </row>
    <row r="34" spans="8:27" x14ac:dyDescent="0.35">
      <c r="P34" s="279" t="s">
        <v>1322</v>
      </c>
      <c r="T34" s="293" t="s">
        <v>1323</v>
      </c>
      <c r="W34" s="290"/>
      <c r="AA34" s="291">
        <f>SUM(AA27:AA33)</f>
        <v>0</v>
      </c>
    </row>
    <row r="35" spans="8:27" x14ac:dyDescent="0.25">
      <c r="H35" s="288" t="s">
        <v>1324</v>
      </c>
      <c r="L35" s="287" t="s">
        <v>1325</v>
      </c>
      <c r="T35" s="279" t="s">
        <v>1326</v>
      </c>
      <c r="W35" s="290"/>
    </row>
    <row r="36" spans="8:27" x14ac:dyDescent="0.25">
      <c r="T36" s="279" t="s">
        <v>1316</v>
      </c>
      <c r="W36" s="290"/>
      <c r="Y36" s="287" t="s">
        <v>1327</v>
      </c>
    </row>
    <row r="37" spans="8:27" x14ac:dyDescent="0.25">
      <c r="W37" s="291">
        <f>SUM(W34:W36)</f>
        <v>0</v>
      </c>
      <c r="Y37" s="279" t="s">
        <v>1328</v>
      </c>
      <c r="AA37" s="290"/>
    </row>
    <row r="38" spans="8:27" x14ac:dyDescent="0.35">
      <c r="Y38" s="279" t="s">
        <v>1328</v>
      </c>
      <c r="Z38" s="289"/>
      <c r="AA38" s="292"/>
    </row>
    <row r="39" spans="8:27" x14ac:dyDescent="0.25">
      <c r="T39" s="279" t="s">
        <v>1329</v>
      </c>
      <c r="Y39" s="279" t="s">
        <v>1330</v>
      </c>
      <c r="AA39" s="290"/>
    </row>
    <row r="40" spans="8:27" x14ac:dyDescent="0.25">
      <c r="T40" s="279" t="s">
        <v>1331</v>
      </c>
      <c r="W40" s="290"/>
      <c r="Y40" s="279" t="s">
        <v>1332</v>
      </c>
      <c r="AA40" s="290"/>
    </row>
    <row r="41" spans="8:27" x14ac:dyDescent="0.25">
      <c r="T41" s="279" t="s">
        <v>1333</v>
      </c>
      <c r="W41" s="290"/>
      <c r="AA41" s="291">
        <f>SUM(AA37:AA40)</f>
        <v>0</v>
      </c>
    </row>
    <row r="42" spans="8:27" x14ac:dyDescent="0.35">
      <c r="T42" s="279" t="s">
        <v>1334</v>
      </c>
      <c r="U42" s="289"/>
      <c r="V42" s="289"/>
      <c r="W42" s="292"/>
      <c r="Y42" s="287" t="s">
        <v>1325</v>
      </c>
    </row>
    <row r="43" spans="8:27" x14ac:dyDescent="0.25">
      <c r="T43" s="279" t="s">
        <v>1326</v>
      </c>
      <c r="W43" s="290"/>
    </row>
    <row r="44" spans="8:27" x14ac:dyDescent="0.25">
      <c r="T44" s="279" t="s">
        <v>1317</v>
      </c>
      <c r="W44" s="290"/>
      <c r="Y44" s="279" t="s">
        <v>1335</v>
      </c>
      <c r="AA44" s="290"/>
    </row>
    <row r="45" spans="8:27" x14ac:dyDescent="0.25">
      <c r="W45" s="291">
        <f>SUM(W40:W44)</f>
        <v>0</v>
      </c>
      <c r="Y45" s="279" t="s">
        <v>1335</v>
      </c>
      <c r="AA45" s="290"/>
    </row>
    <row r="46" spans="8:27" x14ac:dyDescent="0.25">
      <c r="Y46" s="279" t="s">
        <v>1336</v>
      </c>
      <c r="AA46" s="290"/>
    </row>
    <row r="47" spans="8:27" x14ac:dyDescent="0.25">
      <c r="T47" s="279" t="s">
        <v>1337</v>
      </c>
      <c r="Y47" s="279" t="s">
        <v>1336</v>
      </c>
      <c r="AA47" s="290"/>
    </row>
    <row r="48" spans="8:27" x14ac:dyDescent="0.25">
      <c r="T48" s="279" t="s">
        <v>1338</v>
      </c>
      <c r="W48" s="290"/>
      <c r="AA48" s="291">
        <f>SUM(AA44:AA47)</f>
        <v>0</v>
      </c>
    </row>
    <row r="49" spans="20:27" x14ac:dyDescent="0.25">
      <c r="T49" s="279" t="s">
        <v>1482</v>
      </c>
      <c r="W49" s="290"/>
    </row>
    <row r="50" spans="20:27" x14ac:dyDescent="0.25">
      <c r="T50" s="279" t="s">
        <v>1339</v>
      </c>
      <c r="W50" s="290"/>
      <c r="Y50" s="287" t="s">
        <v>1340</v>
      </c>
    </row>
    <row r="51" spans="20:27" x14ac:dyDescent="0.35">
      <c r="T51" s="279" t="s">
        <v>1341</v>
      </c>
      <c r="U51" s="289"/>
      <c r="V51" s="289"/>
      <c r="W51" s="290"/>
      <c r="Y51" s="279" t="s">
        <v>1342</v>
      </c>
      <c r="AA51" s="290"/>
    </row>
    <row r="52" spans="20:27" x14ac:dyDescent="0.35">
      <c r="T52" s="279" t="s">
        <v>1343</v>
      </c>
      <c r="U52" s="289"/>
      <c r="V52" s="289"/>
      <c r="W52" s="290"/>
      <c r="Y52" s="279" t="s">
        <v>1342</v>
      </c>
      <c r="AA52" s="290"/>
    </row>
    <row r="53" spans="20:27" x14ac:dyDescent="0.25">
      <c r="W53" s="291">
        <f>SUM(W48:W52)</f>
        <v>0</v>
      </c>
      <c r="Y53" s="279" t="s">
        <v>1342</v>
      </c>
      <c r="AA53" s="290"/>
    </row>
    <row r="54" spans="20:27" x14ac:dyDescent="0.35">
      <c r="T54" s="289"/>
      <c r="U54" s="289"/>
      <c r="V54" s="289"/>
      <c r="W54" s="289"/>
      <c r="AA54" s="291">
        <f>SUM(AA51:AA53)</f>
        <v>0</v>
      </c>
    </row>
    <row r="55" spans="20:27" x14ac:dyDescent="0.35">
      <c r="T55" s="289"/>
      <c r="U55" s="289"/>
      <c r="V55" s="289"/>
      <c r="W55" s="289"/>
    </row>
    <row r="56" spans="20:27" x14ac:dyDescent="0.35">
      <c r="T56" s="289"/>
      <c r="U56" s="289"/>
      <c r="V56" s="289"/>
      <c r="W56" s="289"/>
      <c r="Y56" s="287" t="s">
        <v>1344</v>
      </c>
    </row>
    <row r="57" spans="20:27" x14ac:dyDescent="0.35">
      <c r="T57" s="289"/>
      <c r="U57" s="289"/>
      <c r="V57" s="289"/>
      <c r="W57" s="289"/>
      <c r="Y57" s="279" t="s">
        <v>1481</v>
      </c>
      <c r="AA57" s="294"/>
    </row>
    <row r="58" spans="20:27" x14ac:dyDescent="0.35">
      <c r="T58" s="289"/>
      <c r="U58" s="289"/>
      <c r="V58" s="289"/>
      <c r="W58" s="289"/>
      <c r="Y58" s="279" t="s">
        <v>1345</v>
      </c>
      <c r="AA58" s="290"/>
    </row>
    <row r="59" spans="20:27" x14ac:dyDescent="0.25">
      <c r="T59" s="287" t="s">
        <v>1346</v>
      </c>
      <c r="AA59" s="291">
        <f>SUM(AA57:AA58)</f>
        <v>0</v>
      </c>
    </row>
    <row r="60" spans="20:27" x14ac:dyDescent="0.25">
      <c r="T60" s="279" t="s">
        <v>1347</v>
      </c>
      <c r="W60" s="290"/>
    </row>
    <row r="61" spans="20:27" x14ac:dyDescent="0.25">
      <c r="T61" s="279" t="s">
        <v>1348</v>
      </c>
      <c r="W61" s="290"/>
    </row>
    <row r="62" spans="20:27" x14ac:dyDescent="0.25">
      <c r="T62" s="279" t="s">
        <v>1349</v>
      </c>
      <c r="W62" s="290"/>
    </row>
    <row r="63" spans="20:27" x14ac:dyDescent="0.25">
      <c r="T63" s="279" t="s">
        <v>1350</v>
      </c>
      <c r="W63" s="290"/>
    </row>
    <row r="64" spans="20:27" x14ac:dyDescent="0.35">
      <c r="T64" s="279" t="s">
        <v>1351</v>
      </c>
      <c r="W64" s="292"/>
    </row>
    <row r="65" spans="20:23" x14ac:dyDescent="0.35">
      <c r="T65" s="279" t="s">
        <v>1339</v>
      </c>
      <c r="W65" s="292"/>
    </row>
    <row r="66" spans="20:23" x14ac:dyDescent="0.25">
      <c r="W66" s="291">
        <f>SUM(W60:W65)</f>
        <v>0</v>
      </c>
    </row>
    <row r="68" spans="20:23" x14ac:dyDescent="0.25">
      <c r="T68" s="287" t="s">
        <v>1352</v>
      </c>
    </row>
    <row r="69" spans="20:23" x14ac:dyDescent="0.25">
      <c r="T69" s="279" t="s">
        <v>1304</v>
      </c>
      <c r="W69" s="290"/>
    </row>
    <row r="70" spans="20:23" x14ac:dyDescent="0.25">
      <c r="T70" s="279" t="s">
        <v>1349</v>
      </c>
      <c r="W70" s="290"/>
    </row>
    <row r="71" spans="20:23" x14ac:dyDescent="0.25">
      <c r="T71" s="279" t="s">
        <v>1350</v>
      </c>
      <c r="W71" s="290"/>
    </row>
    <row r="72" spans="20:23" x14ac:dyDescent="0.35">
      <c r="T72" s="279" t="s">
        <v>1309</v>
      </c>
      <c r="U72" s="289"/>
      <c r="V72" s="289"/>
      <c r="W72" s="294"/>
    </row>
    <row r="73" spans="20:23" x14ac:dyDescent="0.35">
      <c r="T73" s="279" t="s">
        <v>1310</v>
      </c>
      <c r="U73" s="289"/>
      <c r="V73" s="289"/>
      <c r="W73" s="292"/>
    </row>
    <row r="74" spans="20:23" x14ac:dyDescent="0.25">
      <c r="W74" s="291">
        <f>SUM(W69:W73)</f>
        <v>0</v>
      </c>
    </row>
    <row r="77" spans="20:23" x14ac:dyDescent="0.25">
      <c r="T77" s="287" t="s">
        <v>1353</v>
      </c>
      <c r="W77" s="291">
        <f>V15+W22+W30+W37+W45+W53+W66+W74+AA59+AA54+AA48+AA41+AA34+AA24</f>
        <v>0</v>
      </c>
    </row>
    <row r="78" spans="20:23" x14ac:dyDescent="0.25">
      <c r="T78" s="287"/>
      <c r="W78" s="291"/>
    </row>
    <row r="79" spans="20:23" x14ac:dyDescent="0.35">
      <c r="T79" s="279" t="s">
        <v>1354</v>
      </c>
      <c r="W79" s="292"/>
    </row>
    <row r="81" spans="20:23" x14ac:dyDescent="0.25">
      <c r="T81" s="279" t="s">
        <v>1355</v>
      </c>
      <c r="W81" s="290">
        <f>W77-(W29+W44+W50+W49+W48+W60+W62+W65+W70+AA33)</f>
        <v>0</v>
      </c>
    </row>
  </sheetData>
  <mergeCells count="5">
    <mergeCell ref="A1:C1"/>
    <mergeCell ref="J6:K6"/>
    <mergeCell ref="A8:C8"/>
    <mergeCell ref="A2:B2"/>
    <mergeCell ref="B4:C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B7DDF-F9AF-434C-87C8-AE8359150F5B}">
  <sheetPr codeName="Sheet8">
    <tabColor theme="6" tint="0.39997558519241921"/>
  </sheetPr>
  <dimension ref="A1:AA23"/>
  <sheetViews>
    <sheetView zoomScale="80" zoomScaleNormal="80" workbookViewId="0">
      <selection activeCell="Q7" sqref="Q7:V7"/>
    </sheetView>
  </sheetViews>
  <sheetFormatPr defaultRowHeight="12.5" x14ac:dyDescent="0.25"/>
  <cols>
    <col min="1" max="1" width="15.1796875" customWidth="1"/>
    <col min="2" max="2" width="30" bestFit="1" customWidth="1"/>
    <col min="3" max="8" width="10.7265625" customWidth="1"/>
    <col min="9" max="9" width="1.81640625" customWidth="1"/>
    <col min="10" max="15" width="10.7265625" customWidth="1"/>
    <col min="16" max="16" width="1.81640625" customWidth="1"/>
    <col min="17" max="22" width="10.7265625" customWidth="1"/>
    <col min="23" max="23" width="1.81640625" customWidth="1"/>
    <col min="24" max="24" width="34.81640625" bestFit="1" customWidth="1"/>
    <col min="25" max="25" width="32.1796875" customWidth="1"/>
    <col min="26" max="26" width="27.26953125" customWidth="1"/>
    <col min="27" max="27" width="10.81640625" bestFit="1" customWidth="1"/>
  </cols>
  <sheetData>
    <row r="1" spans="1:27" ht="20" x14ac:dyDescent="0.25">
      <c r="A1" s="447" t="s">
        <v>1356</v>
      </c>
      <c r="B1" s="448"/>
      <c r="C1" s="57"/>
      <c r="D1" s="57"/>
    </row>
    <row r="2" spans="1:27" ht="13" x14ac:dyDescent="0.25">
      <c r="A2" s="20"/>
    </row>
    <row r="3" spans="1:27" ht="13" x14ac:dyDescent="0.25">
      <c r="A3" s="22" t="s">
        <v>16</v>
      </c>
      <c r="B3" s="449" t="str">
        <f>Summary!C5</f>
        <v>Select School Name</v>
      </c>
      <c r="C3" s="449"/>
      <c r="D3" s="21" t="s">
        <v>1082</v>
      </c>
      <c r="E3" s="127" t="str">
        <f>Summary!C6</f>
        <v>-</v>
      </c>
    </row>
    <row r="6" spans="1:27" ht="13" thickBot="1" x14ac:dyDescent="0.3"/>
    <row r="7" spans="1:27" ht="58.5" customHeight="1" x14ac:dyDescent="0.25">
      <c r="C7" s="460" t="s">
        <v>1357</v>
      </c>
      <c r="D7" s="461"/>
      <c r="E7" s="461"/>
      <c r="F7" s="461"/>
      <c r="G7" s="461"/>
      <c r="H7" s="462"/>
      <c r="J7" s="463" t="s">
        <v>1358</v>
      </c>
      <c r="K7" s="464"/>
      <c r="L7" s="464"/>
      <c r="M7" s="464"/>
      <c r="N7" s="464"/>
      <c r="O7" s="465"/>
      <c r="P7" s="135"/>
      <c r="Q7" s="463" t="s">
        <v>1359</v>
      </c>
      <c r="R7" s="464"/>
      <c r="S7" s="464"/>
      <c r="T7" s="464"/>
      <c r="U7" s="464"/>
      <c r="V7" s="465"/>
      <c r="W7" s="135"/>
    </row>
    <row r="8" spans="1:27" s="9" customFormat="1" ht="26" x14ac:dyDescent="0.25">
      <c r="A8" s="130" t="s">
        <v>1057</v>
      </c>
      <c r="B8" s="131" t="s">
        <v>1174</v>
      </c>
      <c r="C8" s="130" t="s">
        <v>1286</v>
      </c>
      <c r="D8" s="177" t="s">
        <v>1287</v>
      </c>
      <c r="E8" s="177" t="s">
        <v>1288</v>
      </c>
      <c r="F8" s="177" t="s">
        <v>1289</v>
      </c>
      <c r="G8" s="177" t="s">
        <v>1290</v>
      </c>
      <c r="H8" s="131" t="s">
        <v>1291</v>
      </c>
      <c r="I8" s="129"/>
      <c r="J8" s="130" t="s">
        <v>1286</v>
      </c>
      <c r="K8" s="177" t="s">
        <v>1287</v>
      </c>
      <c r="L8" s="177" t="s">
        <v>1288</v>
      </c>
      <c r="M8" s="177" t="s">
        <v>1289</v>
      </c>
      <c r="N8" s="177" t="s">
        <v>1290</v>
      </c>
      <c r="O8" s="131" t="s">
        <v>1291</v>
      </c>
      <c r="P8" s="136"/>
      <c r="Q8" s="130" t="s">
        <v>1286</v>
      </c>
      <c r="R8" s="177" t="s">
        <v>1287</v>
      </c>
      <c r="S8" s="177" t="s">
        <v>1288</v>
      </c>
      <c r="T8" s="177" t="s">
        <v>1289</v>
      </c>
      <c r="U8" s="177" t="s">
        <v>1290</v>
      </c>
      <c r="V8" s="131" t="s">
        <v>1291</v>
      </c>
      <c r="W8" s="136"/>
      <c r="X8" s="130" t="s">
        <v>1184</v>
      </c>
      <c r="Y8" s="131" t="s">
        <v>1185</v>
      </c>
      <c r="Z8" s="9" t="s">
        <v>1186</v>
      </c>
      <c r="AA8" s="9" t="s">
        <v>1187</v>
      </c>
    </row>
    <row r="9" spans="1:27" ht="14.5" x14ac:dyDescent="0.35">
      <c r="A9" s="132" t="s">
        <v>61</v>
      </c>
      <c r="B9" s="133" t="s">
        <v>1113</v>
      </c>
      <c r="C9" s="260">
        <f>Establishment!C7</f>
        <v>0</v>
      </c>
      <c r="D9" s="261">
        <f>Establishment!D7</f>
        <v>0</v>
      </c>
      <c r="E9" s="261">
        <f>Establishment!E7</f>
        <v>0</v>
      </c>
      <c r="F9" s="261">
        <f>Establishment!F7</f>
        <v>0</v>
      </c>
      <c r="G9" s="261">
        <f>Establishment!G7</f>
        <v>0</v>
      </c>
      <c r="H9" s="262">
        <f>Establishment!H7</f>
        <v>0</v>
      </c>
      <c r="J9" s="260"/>
      <c r="K9" s="261"/>
      <c r="L9" s="261"/>
      <c r="M9" s="261"/>
      <c r="N9" s="261"/>
      <c r="O9" s="262"/>
      <c r="Q9" s="260"/>
      <c r="R9" s="261"/>
      <c r="S9" s="261"/>
      <c r="T9" s="261"/>
      <c r="U9" s="261"/>
      <c r="V9" s="262"/>
      <c r="X9" s="17"/>
      <c r="Y9" s="18"/>
    </row>
    <row r="10" spans="1:27" ht="14.5" x14ac:dyDescent="0.35">
      <c r="A10" s="132" t="s">
        <v>63</v>
      </c>
      <c r="B10" s="133" t="s">
        <v>1114</v>
      </c>
      <c r="C10" s="263">
        <f>Establishment!C8</f>
        <v>0</v>
      </c>
      <c r="D10" s="264">
        <f>Establishment!D8</f>
        <v>0</v>
      </c>
      <c r="E10" s="264">
        <f>Establishment!E8</f>
        <v>0</v>
      </c>
      <c r="F10" s="264">
        <f>Establishment!F8</f>
        <v>0</v>
      </c>
      <c r="G10" s="264">
        <f>Establishment!G8</f>
        <v>0</v>
      </c>
      <c r="H10" s="262">
        <f>Establishment!H8</f>
        <v>0</v>
      </c>
      <c r="J10" s="263"/>
      <c r="K10" s="264"/>
      <c r="L10" s="264"/>
      <c r="M10" s="264"/>
      <c r="N10" s="264"/>
      <c r="O10" s="262"/>
      <c r="Q10" s="263"/>
      <c r="R10" s="264"/>
      <c r="S10" s="264"/>
      <c r="T10" s="264"/>
      <c r="U10" s="264"/>
      <c r="V10" s="262"/>
      <c r="X10" s="17"/>
      <c r="Y10" s="18"/>
    </row>
    <row r="11" spans="1:27" ht="14.5" x14ac:dyDescent="0.35">
      <c r="A11" s="132" t="s">
        <v>61</v>
      </c>
      <c r="B11" s="133" t="s">
        <v>1115</v>
      </c>
      <c r="C11" s="263">
        <f>Establishment!C9</f>
        <v>0</v>
      </c>
      <c r="D11" s="264">
        <f>Establishment!D9</f>
        <v>0</v>
      </c>
      <c r="E11" s="264">
        <f>Establishment!E9</f>
        <v>0</v>
      </c>
      <c r="F11" s="264">
        <f>Establishment!F9</f>
        <v>0</v>
      </c>
      <c r="G11" s="264">
        <f>Establishment!G9</f>
        <v>0</v>
      </c>
      <c r="H11" s="262">
        <f>Establishment!H9</f>
        <v>0</v>
      </c>
      <c r="J11" s="263"/>
      <c r="K11" s="264"/>
      <c r="L11" s="264"/>
      <c r="M11" s="264"/>
      <c r="N11" s="264"/>
      <c r="O11" s="262"/>
      <c r="Q11" s="263"/>
      <c r="R11" s="264"/>
      <c r="S11" s="264"/>
      <c r="T11" s="264"/>
      <c r="U11" s="264"/>
      <c r="V11" s="262"/>
      <c r="X11" s="17"/>
      <c r="Y11" s="18"/>
    </row>
    <row r="12" spans="1:27" ht="14.5" x14ac:dyDescent="0.35">
      <c r="A12" s="132" t="s">
        <v>65</v>
      </c>
      <c r="B12" s="133" t="s">
        <v>1116</v>
      </c>
      <c r="C12" s="263">
        <f>Establishment!C10</f>
        <v>0</v>
      </c>
      <c r="D12" s="264">
        <f>Establishment!D10</f>
        <v>0</v>
      </c>
      <c r="E12" s="264">
        <f>Establishment!E10</f>
        <v>0</v>
      </c>
      <c r="F12" s="264">
        <f>Establishment!F10</f>
        <v>0</v>
      </c>
      <c r="G12" s="264">
        <f>Establishment!G10</f>
        <v>0</v>
      </c>
      <c r="H12" s="262">
        <f>Establishment!H10</f>
        <v>0</v>
      </c>
      <c r="J12" s="263"/>
      <c r="K12" s="264"/>
      <c r="L12" s="264"/>
      <c r="M12" s="264"/>
      <c r="N12" s="264"/>
      <c r="O12" s="262"/>
      <c r="Q12" s="263"/>
      <c r="R12" s="264"/>
      <c r="S12" s="264"/>
      <c r="T12" s="264"/>
      <c r="U12" s="264"/>
      <c r="V12" s="262"/>
      <c r="X12" s="17"/>
      <c r="Y12" s="18"/>
    </row>
    <row r="13" spans="1:27" ht="14.5" x14ac:dyDescent="0.35">
      <c r="A13" s="132" t="s">
        <v>64</v>
      </c>
      <c r="B13" s="133" t="s">
        <v>1117</v>
      </c>
      <c r="C13" s="263">
        <f>Establishment!C11</f>
        <v>0</v>
      </c>
      <c r="D13" s="264">
        <f>Establishment!D11</f>
        <v>0</v>
      </c>
      <c r="E13" s="264">
        <f>Establishment!E11</f>
        <v>0</v>
      </c>
      <c r="F13" s="264">
        <f>Establishment!F11</f>
        <v>0</v>
      </c>
      <c r="G13" s="264">
        <f>Establishment!G11</f>
        <v>0</v>
      </c>
      <c r="H13" s="262">
        <f>Establishment!H11</f>
        <v>0</v>
      </c>
      <c r="J13" s="263"/>
      <c r="K13" s="264"/>
      <c r="L13" s="264"/>
      <c r="M13" s="264"/>
      <c r="N13" s="264"/>
      <c r="O13" s="262"/>
      <c r="Q13" s="263"/>
      <c r="R13" s="264"/>
      <c r="S13" s="264"/>
      <c r="T13" s="264"/>
      <c r="U13" s="264"/>
      <c r="V13" s="262"/>
      <c r="X13" s="17"/>
      <c r="Y13" s="18"/>
    </row>
    <row r="14" spans="1:27" ht="14.5" x14ac:dyDescent="0.35">
      <c r="A14" s="132" t="s">
        <v>64</v>
      </c>
      <c r="B14" s="133" t="s">
        <v>1118</v>
      </c>
      <c r="C14" s="263">
        <f>Establishment!C12</f>
        <v>0</v>
      </c>
      <c r="D14" s="264">
        <f>Establishment!D12</f>
        <v>0</v>
      </c>
      <c r="E14" s="264">
        <f>Establishment!E12</f>
        <v>0</v>
      </c>
      <c r="F14" s="264">
        <f>Establishment!F12</f>
        <v>0</v>
      </c>
      <c r="G14" s="264">
        <f>Establishment!G12</f>
        <v>0</v>
      </c>
      <c r="H14" s="262">
        <f>Establishment!H12</f>
        <v>0</v>
      </c>
      <c r="J14" s="263"/>
      <c r="K14" s="264"/>
      <c r="L14" s="264"/>
      <c r="M14" s="264"/>
      <c r="N14" s="264"/>
      <c r="O14" s="262"/>
      <c r="Q14" s="263"/>
      <c r="R14" s="264"/>
      <c r="S14" s="264"/>
      <c r="T14" s="264"/>
      <c r="U14" s="264"/>
      <c r="V14" s="262"/>
      <c r="X14" s="17"/>
      <c r="Y14" s="18"/>
    </row>
    <row r="15" spans="1:27" ht="14.5" x14ac:dyDescent="0.35">
      <c r="A15" s="132" t="s">
        <v>66</v>
      </c>
      <c r="B15" s="133" t="s">
        <v>1119</v>
      </c>
      <c r="C15" s="263">
        <f>Establishment!C13</f>
        <v>0</v>
      </c>
      <c r="D15" s="264">
        <f>Establishment!D13</f>
        <v>0</v>
      </c>
      <c r="E15" s="264">
        <f>Establishment!E13</f>
        <v>0</v>
      </c>
      <c r="F15" s="264">
        <f>Establishment!F13</f>
        <v>0</v>
      </c>
      <c r="G15" s="264">
        <f>Establishment!G13</f>
        <v>0</v>
      </c>
      <c r="H15" s="262">
        <f>Establishment!H13</f>
        <v>0</v>
      </c>
      <c r="J15" s="263"/>
      <c r="K15" s="264"/>
      <c r="L15" s="264"/>
      <c r="M15" s="264"/>
      <c r="N15" s="264"/>
      <c r="O15" s="262"/>
      <c r="Q15" s="263"/>
      <c r="R15" s="264"/>
      <c r="S15" s="264"/>
      <c r="T15" s="264"/>
      <c r="U15" s="264"/>
      <c r="V15" s="262"/>
      <c r="X15" s="17"/>
      <c r="Y15" s="18"/>
    </row>
    <row r="16" spans="1:27" ht="14.5" x14ac:dyDescent="0.35">
      <c r="A16" s="132" t="s">
        <v>67</v>
      </c>
      <c r="B16" s="133" t="s">
        <v>1120</v>
      </c>
      <c r="C16" s="263">
        <f>Establishment!C14</f>
        <v>0</v>
      </c>
      <c r="D16" s="264">
        <f>Establishment!D14</f>
        <v>0</v>
      </c>
      <c r="E16" s="264">
        <f>Establishment!E14</f>
        <v>0</v>
      </c>
      <c r="F16" s="264">
        <f>Establishment!F14</f>
        <v>0</v>
      </c>
      <c r="G16" s="264">
        <f>Establishment!G14</f>
        <v>0</v>
      </c>
      <c r="H16" s="262">
        <f>Establishment!H14</f>
        <v>0</v>
      </c>
      <c r="J16" s="263"/>
      <c r="K16" s="264"/>
      <c r="L16" s="264"/>
      <c r="M16" s="264"/>
      <c r="N16" s="264"/>
      <c r="O16" s="262"/>
      <c r="Q16" s="263"/>
      <c r="R16" s="264"/>
      <c r="S16" s="264"/>
      <c r="T16" s="264"/>
      <c r="U16" s="264"/>
      <c r="V16" s="262"/>
      <c r="X16" s="17"/>
      <c r="Y16" s="18"/>
    </row>
    <row r="17" spans="1:22" ht="14.5" x14ac:dyDescent="0.35">
      <c r="A17" s="132"/>
      <c r="B17" s="133" t="s">
        <v>1121</v>
      </c>
      <c r="C17" s="263">
        <f>Establishment!C15</f>
        <v>0</v>
      </c>
      <c r="D17" s="264">
        <f>Establishment!D15</f>
        <v>0</v>
      </c>
      <c r="E17" s="264">
        <f>Establishment!E15</f>
        <v>0</v>
      </c>
      <c r="F17" s="264">
        <f>Establishment!F15</f>
        <v>0</v>
      </c>
      <c r="G17" s="264">
        <f>Establishment!G15</f>
        <v>0</v>
      </c>
      <c r="H17" s="262">
        <f>Establishment!H15</f>
        <v>0</v>
      </c>
      <c r="J17" s="263"/>
      <c r="K17" s="264"/>
      <c r="L17" s="264"/>
      <c r="M17" s="264"/>
      <c r="N17" s="264"/>
      <c r="O17" s="262"/>
      <c r="Q17" s="263"/>
      <c r="R17" s="264"/>
      <c r="S17" s="264"/>
      <c r="T17" s="264"/>
      <c r="U17" s="264"/>
      <c r="V17" s="262"/>
    </row>
    <row r="18" spans="1:22" ht="14.5" x14ac:dyDescent="0.35">
      <c r="A18" s="132"/>
      <c r="B18" s="133" t="s">
        <v>1121</v>
      </c>
      <c r="C18" s="263">
        <f>Establishment!C16</f>
        <v>0</v>
      </c>
      <c r="D18" s="264">
        <f>Establishment!D16</f>
        <v>0</v>
      </c>
      <c r="E18" s="264">
        <f>Establishment!E16</f>
        <v>0</v>
      </c>
      <c r="F18" s="264">
        <f>Establishment!F16</f>
        <v>0</v>
      </c>
      <c r="G18" s="264">
        <f>Establishment!G16</f>
        <v>0</v>
      </c>
      <c r="H18" s="262">
        <f>Establishment!H16</f>
        <v>0</v>
      </c>
      <c r="J18" s="263"/>
      <c r="K18" s="264"/>
      <c r="L18" s="264"/>
      <c r="M18" s="264"/>
      <c r="N18" s="264"/>
      <c r="O18" s="262"/>
      <c r="Q18" s="263"/>
      <c r="R18" s="264"/>
      <c r="S18" s="264"/>
      <c r="T18" s="264"/>
      <c r="U18" s="264"/>
      <c r="V18" s="262"/>
    </row>
    <row r="19" spans="1:22" ht="15" thickBot="1" x14ac:dyDescent="0.4">
      <c r="A19" s="132"/>
      <c r="B19" s="133" t="s">
        <v>1121</v>
      </c>
      <c r="C19" s="265">
        <f>Establishment!C17</f>
        <v>0</v>
      </c>
      <c r="D19" s="266">
        <f>Establishment!D17</f>
        <v>0</v>
      </c>
      <c r="E19" s="266">
        <f>Establishment!E17</f>
        <v>0</v>
      </c>
      <c r="F19" s="266">
        <f>Establishment!F17</f>
        <v>0</v>
      </c>
      <c r="G19" s="266">
        <f>Establishment!G17</f>
        <v>0</v>
      </c>
      <c r="H19" s="267">
        <f>Establishment!H17</f>
        <v>0</v>
      </c>
      <c r="J19" s="265"/>
      <c r="K19" s="266"/>
      <c r="L19" s="266"/>
      <c r="M19" s="266"/>
      <c r="N19" s="266"/>
      <c r="O19" s="267"/>
      <c r="Q19" s="265"/>
      <c r="R19" s="266"/>
      <c r="S19" s="266"/>
      <c r="T19" s="266"/>
      <c r="U19" s="266"/>
      <c r="V19" s="267"/>
    </row>
    <row r="21" spans="1:22" ht="13.5" thickBot="1" x14ac:dyDescent="0.3">
      <c r="B21" s="20" t="s">
        <v>1282</v>
      </c>
      <c r="C21" s="19">
        <f t="shared" ref="C21:H21" si="0">SUM(C9:C19)</f>
        <v>0</v>
      </c>
      <c r="D21" s="19">
        <f t="shared" si="0"/>
        <v>0</v>
      </c>
      <c r="E21" s="19">
        <f t="shared" si="0"/>
        <v>0</v>
      </c>
      <c r="F21" s="19">
        <f t="shared" si="0"/>
        <v>0</v>
      </c>
      <c r="G21" s="19">
        <f t="shared" si="0"/>
        <v>0</v>
      </c>
      <c r="H21" s="19">
        <f t="shared" si="0"/>
        <v>0</v>
      </c>
      <c r="I21" s="19"/>
      <c r="J21" s="19">
        <f t="shared" ref="J21:V21" si="1">SUM(J9:J19)</f>
        <v>0</v>
      </c>
      <c r="K21" s="19">
        <f t="shared" si="1"/>
        <v>0</v>
      </c>
      <c r="L21" s="19">
        <f t="shared" si="1"/>
        <v>0</v>
      </c>
      <c r="M21" s="19">
        <f t="shared" si="1"/>
        <v>0</v>
      </c>
      <c r="N21" s="19">
        <f t="shared" si="1"/>
        <v>0</v>
      </c>
      <c r="O21" s="19">
        <f t="shared" si="1"/>
        <v>0</v>
      </c>
      <c r="Q21" s="19">
        <f t="shared" si="1"/>
        <v>0</v>
      </c>
      <c r="R21" s="19">
        <f t="shared" si="1"/>
        <v>0</v>
      </c>
      <c r="S21" s="19">
        <f t="shared" si="1"/>
        <v>0</v>
      </c>
      <c r="T21" s="19">
        <f t="shared" si="1"/>
        <v>0</v>
      </c>
      <c r="U21" s="19">
        <f t="shared" si="1"/>
        <v>0</v>
      </c>
      <c r="V21" s="19">
        <f t="shared" si="1"/>
        <v>0</v>
      </c>
    </row>
    <row r="22" spans="1:22" ht="13" thickTop="1" x14ac:dyDescent="0.25"/>
    <row r="23" spans="1:22" x14ac:dyDescent="0.25">
      <c r="J23" s="23" t="s">
        <v>1360</v>
      </c>
      <c r="K23" s="23"/>
      <c r="L23" s="23"/>
      <c r="M23" s="23"/>
      <c r="N23" s="23"/>
      <c r="O23" s="23"/>
      <c r="P23" s="23"/>
      <c r="Q23" s="23"/>
      <c r="R23" s="23"/>
      <c r="S23" s="23"/>
      <c r="T23" s="23"/>
      <c r="U23" s="23"/>
      <c r="V23" s="23"/>
    </row>
  </sheetData>
  <mergeCells count="5">
    <mergeCell ref="C7:H7"/>
    <mergeCell ref="J7:O7"/>
    <mergeCell ref="A1:B1"/>
    <mergeCell ref="Q7:V7"/>
    <mergeCell ref="B3:C3"/>
  </mergeCells>
  <pageMargins left="0.7" right="0.7" top="0.75" bottom="0.75" header="0.3" footer="0.3"/>
  <headerFooter>
    <oddFooter>&amp;C_x000D_&amp;1#&amp;"Calibri"&amp;10&amp;K000000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9059E-1281-42B3-BD55-027E6C6629D4}">
  <sheetPr codeName="Sheet10">
    <tabColor theme="6" tint="0.39997558519241921"/>
  </sheetPr>
  <dimension ref="A1:AA22"/>
  <sheetViews>
    <sheetView zoomScale="80" zoomScaleNormal="80" workbookViewId="0">
      <selection activeCell="Q7" sqref="Q7:V7"/>
    </sheetView>
  </sheetViews>
  <sheetFormatPr defaultRowHeight="12.5" x14ac:dyDescent="0.25"/>
  <cols>
    <col min="1" max="1" width="15.1796875" customWidth="1"/>
    <col min="2" max="2" width="30" bestFit="1" customWidth="1"/>
    <col min="3" max="8" width="10.7265625" customWidth="1"/>
    <col min="9" max="9" width="1.81640625" customWidth="1"/>
    <col min="10" max="15" width="10.7265625" customWidth="1"/>
    <col min="16" max="16" width="1.81640625" customWidth="1"/>
    <col min="17" max="22" width="10.7265625" customWidth="1"/>
    <col min="23" max="23" width="1.81640625" customWidth="1"/>
    <col min="24" max="24" width="34.81640625" bestFit="1" customWidth="1"/>
    <col min="25" max="25" width="32.1796875" customWidth="1"/>
    <col min="26" max="26" width="27.26953125" customWidth="1"/>
    <col min="27" max="27" width="10.81640625" bestFit="1" customWidth="1"/>
  </cols>
  <sheetData>
    <row r="1" spans="1:27" ht="20" x14ac:dyDescent="0.25">
      <c r="A1" s="447" t="s">
        <v>1361</v>
      </c>
      <c r="B1" s="448"/>
      <c r="C1" s="448"/>
      <c r="D1" s="448"/>
    </row>
    <row r="2" spans="1:27" ht="13" x14ac:dyDescent="0.25">
      <c r="A2" s="20"/>
    </row>
    <row r="3" spans="1:27" ht="13" x14ac:dyDescent="0.25">
      <c r="A3" s="22" t="s">
        <v>16</v>
      </c>
      <c r="B3" s="449" t="str">
        <f>Summary!C5</f>
        <v>Select School Name</v>
      </c>
      <c r="C3" s="449"/>
      <c r="D3" s="21" t="s">
        <v>1082</v>
      </c>
      <c r="E3" s="127" t="str">
        <f>Summary!C6</f>
        <v>-</v>
      </c>
    </row>
    <row r="6" spans="1:27" ht="13" thickBot="1" x14ac:dyDescent="0.3"/>
    <row r="7" spans="1:27" ht="58.5" customHeight="1" x14ac:dyDescent="0.25">
      <c r="C7" s="460" t="s">
        <v>1357</v>
      </c>
      <c r="D7" s="461"/>
      <c r="E7" s="461"/>
      <c r="F7" s="461"/>
      <c r="G7" s="461"/>
      <c r="H7" s="462"/>
      <c r="J7" s="463" t="s">
        <v>1358</v>
      </c>
      <c r="K7" s="464"/>
      <c r="L7" s="464"/>
      <c r="M7" s="464"/>
      <c r="N7" s="464"/>
      <c r="O7" s="465"/>
      <c r="P7" s="135"/>
      <c r="Q7" s="463" t="s">
        <v>1359</v>
      </c>
      <c r="R7" s="464"/>
      <c r="S7" s="464"/>
      <c r="T7" s="464"/>
      <c r="U7" s="464"/>
      <c r="V7" s="465"/>
      <c r="W7" s="135"/>
    </row>
    <row r="8" spans="1:27" s="9" customFormat="1" ht="26" x14ac:dyDescent="0.25">
      <c r="A8" s="130" t="s">
        <v>1057</v>
      </c>
      <c r="B8" s="131" t="s">
        <v>1174</v>
      </c>
      <c r="C8" s="130" t="s">
        <v>1286</v>
      </c>
      <c r="D8" s="177" t="s">
        <v>1287</v>
      </c>
      <c r="E8" s="177" t="s">
        <v>1288</v>
      </c>
      <c r="F8" s="177" t="s">
        <v>1289</v>
      </c>
      <c r="G8" s="177" t="s">
        <v>1290</v>
      </c>
      <c r="H8" s="131" t="s">
        <v>1291</v>
      </c>
      <c r="I8" s="129"/>
      <c r="J8" s="130" t="s">
        <v>1286</v>
      </c>
      <c r="K8" s="177" t="s">
        <v>1287</v>
      </c>
      <c r="L8" s="177" t="s">
        <v>1288</v>
      </c>
      <c r="M8" s="177" t="s">
        <v>1289</v>
      </c>
      <c r="N8" s="177" t="s">
        <v>1290</v>
      </c>
      <c r="O8" s="131" t="s">
        <v>1291</v>
      </c>
      <c r="P8" s="136"/>
      <c r="Q8" s="130" t="s">
        <v>1286</v>
      </c>
      <c r="R8" s="177" t="s">
        <v>1287</v>
      </c>
      <c r="S8" s="177" t="s">
        <v>1288</v>
      </c>
      <c r="T8" s="177" t="s">
        <v>1289</v>
      </c>
      <c r="U8" s="177" t="s">
        <v>1290</v>
      </c>
      <c r="V8" s="131" t="s">
        <v>1291</v>
      </c>
      <c r="W8" s="136"/>
      <c r="X8" s="179" t="s">
        <v>1184</v>
      </c>
      <c r="Y8" s="179" t="s">
        <v>1185</v>
      </c>
      <c r="Z8" s="9" t="s">
        <v>1186</v>
      </c>
      <c r="AA8" s="9" t="s">
        <v>1187</v>
      </c>
    </row>
    <row r="9" spans="1:27" ht="14.5" x14ac:dyDescent="0.35">
      <c r="A9" s="132" t="s">
        <v>61</v>
      </c>
      <c r="B9" s="133" t="s">
        <v>1113</v>
      </c>
      <c r="C9" s="260">
        <f>Establishment!C7</f>
        <v>0</v>
      </c>
      <c r="D9" s="261">
        <f>Establishment!D7</f>
        <v>0</v>
      </c>
      <c r="E9" s="261">
        <f>Establishment!E7</f>
        <v>0</v>
      </c>
      <c r="F9" s="261">
        <f>Establishment!F7</f>
        <v>0</v>
      </c>
      <c r="G9" s="261">
        <f>Establishment!G7</f>
        <v>0</v>
      </c>
      <c r="H9" s="262">
        <f>Establishment!H7</f>
        <v>0</v>
      </c>
      <c r="J9" s="263"/>
      <c r="K9" s="264"/>
      <c r="L9" s="264"/>
      <c r="M9" s="264"/>
      <c r="N9" s="264"/>
      <c r="O9" s="262"/>
      <c r="Q9" s="263"/>
      <c r="R9" s="264"/>
      <c r="S9" s="264"/>
      <c r="T9" s="264"/>
      <c r="U9" s="264"/>
      <c r="V9" s="262"/>
      <c r="X9" s="178"/>
      <c r="Y9" s="178"/>
    </row>
    <row r="10" spans="1:27" ht="14.5" x14ac:dyDescent="0.35">
      <c r="A10" s="132" t="s">
        <v>63</v>
      </c>
      <c r="B10" s="133" t="s">
        <v>1114</v>
      </c>
      <c r="C10" s="263">
        <f>Establishment!C8</f>
        <v>0</v>
      </c>
      <c r="D10" s="264">
        <f>Establishment!D8</f>
        <v>0</v>
      </c>
      <c r="E10" s="264">
        <f>Establishment!E8</f>
        <v>0</v>
      </c>
      <c r="F10" s="264">
        <f>Establishment!F8</f>
        <v>0</v>
      </c>
      <c r="G10" s="264">
        <f>Establishment!G8</f>
        <v>0</v>
      </c>
      <c r="H10" s="262">
        <f>Establishment!H8</f>
        <v>0</v>
      </c>
      <c r="J10" s="263"/>
      <c r="K10" s="264"/>
      <c r="L10" s="264"/>
      <c r="M10" s="264"/>
      <c r="N10" s="264"/>
      <c r="O10" s="262"/>
      <c r="Q10" s="263"/>
      <c r="R10" s="264"/>
      <c r="S10" s="264"/>
      <c r="T10" s="264"/>
      <c r="U10" s="264"/>
      <c r="V10" s="262"/>
      <c r="X10" s="178"/>
      <c r="Y10" s="178"/>
    </row>
    <row r="11" spans="1:27" ht="14.5" x14ac:dyDescent="0.35">
      <c r="A11" s="132" t="s">
        <v>61</v>
      </c>
      <c r="B11" s="133" t="s">
        <v>1115</v>
      </c>
      <c r="C11" s="263">
        <f>Establishment!C9</f>
        <v>0</v>
      </c>
      <c r="D11" s="264">
        <f>Establishment!D9</f>
        <v>0</v>
      </c>
      <c r="E11" s="264">
        <f>Establishment!E9</f>
        <v>0</v>
      </c>
      <c r="F11" s="264">
        <f>Establishment!F9</f>
        <v>0</v>
      </c>
      <c r="G11" s="264">
        <f>Establishment!G9</f>
        <v>0</v>
      </c>
      <c r="H11" s="262">
        <f>Establishment!H9</f>
        <v>0</v>
      </c>
      <c r="J11" s="263"/>
      <c r="K11" s="264"/>
      <c r="L11" s="264"/>
      <c r="M11" s="264"/>
      <c r="N11" s="264"/>
      <c r="O11" s="262"/>
      <c r="Q11" s="263"/>
      <c r="R11" s="264"/>
      <c r="S11" s="264"/>
      <c r="T11" s="264"/>
      <c r="U11" s="264"/>
      <c r="V11" s="262"/>
      <c r="X11" s="178"/>
      <c r="Y11" s="178"/>
    </row>
    <row r="12" spans="1:27" ht="14.5" x14ac:dyDescent="0.35">
      <c r="A12" s="132" t="s">
        <v>65</v>
      </c>
      <c r="B12" s="133" t="s">
        <v>1116</v>
      </c>
      <c r="C12" s="263">
        <f>Establishment!C10</f>
        <v>0</v>
      </c>
      <c r="D12" s="264">
        <f>Establishment!D10</f>
        <v>0</v>
      </c>
      <c r="E12" s="264">
        <f>Establishment!E10</f>
        <v>0</v>
      </c>
      <c r="F12" s="264">
        <f>Establishment!F10</f>
        <v>0</v>
      </c>
      <c r="G12" s="264">
        <f>Establishment!G10</f>
        <v>0</v>
      </c>
      <c r="H12" s="262">
        <f>Establishment!H10</f>
        <v>0</v>
      </c>
      <c r="J12" s="263"/>
      <c r="K12" s="264"/>
      <c r="L12" s="264"/>
      <c r="M12" s="264"/>
      <c r="N12" s="264"/>
      <c r="O12" s="262"/>
      <c r="Q12" s="263"/>
      <c r="R12" s="264"/>
      <c r="S12" s="264"/>
      <c r="T12" s="264"/>
      <c r="U12" s="264"/>
      <c r="V12" s="262"/>
      <c r="X12" s="178"/>
      <c r="Y12" s="178"/>
    </row>
    <row r="13" spans="1:27" ht="14.5" x14ac:dyDescent="0.35">
      <c r="A13" s="132" t="s">
        <v>64</v>
      </c>
      <c r="B13" s="133" t="s">
        <v>1117</v>
      </c>
      <c r="C13" s="263">
        <f>Establishment!C11</f>
        <v>0</v>
      </c>
      <c r="D13" s="264">
        <f>Establishment!D11</f>
        <v>0</v>
      </c>
      <c r="E13" s="264">
        <f>Establishment!E11</f>
        <v>0</v>
      </c>
      <c r="F13" s="264">
        <f>Establishment!F11</f>
        <v>0</v>
      </c>
      <c r="G13" s="264">
        <f>Establishment!G11</f>
        <v>0</v>
      </c>
      <c r="H13" s="262">
        <f>Establishment!H11</f>
        <v>0</v>
      </c>
      <c r="J13" s="263"/>
      <c r="K13" s="264"/>
      <c r="L13" s="264"/>
      <c r="M13" s="264"/>
      <c r="N13" s="264"/>
      <c r="O13" s="262"/>
      <c r="Q13" s="263"/>
      <c r="R13" s="264"/>
      <c r="S13" s="264"/>
      <c r="T13" s="264"/>
      <c r="U13" s="264"/>
      <c r="V13" s="262"/>
      <c r="X13" s="178"/>
      <c r="Y13" s="178"/>
    </row>
    <row r="14" spans="1:27" ht="14.5" x14ac:dyDescent="0.35">
      <c r="A14" s="132" t="s">
        <v>64</v>
      </c>
      <c r="B14" s="133" t="s">
        <v>1118</v>
      </c>
      <c r="C14" s="263">
        <f>Establishment!C12</f>
        <v>0</v>
      </c>
      <c r="D14" s="264">
        <f>Establishment!D12</f>
        <v>0</v>
      </c>
      <c r="E14" s="264">
        <f>Establishment!E12</f>
        <v>0</v>
      </c>
      <c r="F14" s="264">
        <f>Establishment!F12</f>
        <v>0</v>
      </c>
      <c r="G14" s="264">
        <f>Establishment!G12</f>
        <v>0</v>
      </c>
      <c r="H14" s="262">
        <f>Establishment!H12</f>
        <v>0</v>
      </c>
      <c r="J14" s="263"/>
      <c r="K14" s="264"/>
      <c r="L14" s="264"/>
      <c r="M14" s="264"/>
      <c r="N14" s="264"/>
      <c r="O14" s="262"/>
      <c r="Q14" s="263"/>
      <c r="R14" s="264"/>
      <c r="S14" s="264"/>
      <c r="T14" s="264"/>
      <c r="U14" s="264"/>
      <c r="V14" s="262"/>
      <c r="X14" s="178"/>
      <c r="Y14" s="178"/>
    </row>
    <row r="15" spans="1:27" ht="14.5" x14ac:dyDescent="0.35">
      <c r="A15" s="132" t="s">
        <v>66</v>
      </c>
      <c r="B15" s="133" t="s">
        <v>1119</v>
      </c>
      <c r="C15" s="263">
        <f>Establishment!C13</f>
        <v>0</v>
      </c>
      <c r="D15" s="264">
        <f>Establishment!D13</f>
        <v>0</v>
      </c>
      <c r="E15" s="264">
        <f>Establishment!E13</f>
        <v>0</v>
      </c>
      <c r="F15" s="264">
        <f>Establishment!F13</f>
        <v>0</v>
      </c>
      <c r="G15" s="264">
        <f>Establishment!G13</f>
        <v>0</v>
      </c>
      <c r="H15" s="262">
        <f>Establishment!H13</f>
        <v>0</v>
      </c>
      <c r="J15" s="263"/>
      <c r="K15" s="264"/>
      <c r="L15" s="264"/>
      <c r="M15" s="264"/>
      <c r="N15" s="264"/>
      <c r="O15" s="262"/>
      <c r="Q15" s="263"/>
      <c r="R15" s="264"/>
      <c r="S15" s="264"/>
      <c r="T15" s="264"/>
      <c r="U15" s="264"/>
      <c r="V15" s="262"/>
      <c r="X15" s="178"/>
      <c r="Y15" s="178"/>
    </row>
    <row r="16" spans="1:27" ht="14.5" x14ac:dyDescent="0.35">
      <c r="A16" s="132" t="s">
        <v>67</v>
      </c>
      <c r="B16" s="133" t="s">
        <v>1120</v>
      </c>
      <c r="C16" s="263">
        <f>Establishment!C14</f>
        <v>0</v>
      </c>
      <c r="D16" s="264">
        <f>Establishment!D14</f>
        <v>0</v>
      </c>
      <c r="E16" s="264">
        <f>Establishment!E14</f>
        <v>0</v>
      </c>
      <c r="F16" s="264">
        <f>Establishment!F14</f>
        <v>0</v>
      </c>
      <c r="G16" s="264">
        <f>Establishment!G14</f>
        <v>0</v>
      </c>
      <c r="H16" s="262">
        <f>Establishment!H14</f>
        <v>0</v>
      </c>
      <c r="J16" s="263"/>
      <c r="K16" s="264"/>
      <c r="L16" s="264"/>
      <c r="M16" s="264"/>
      <c r="N16" s="264"/>
      <c r="O16" s="262"/>
      <c r="Q16" s="263"/>
      <c r="R16" s="264"/>
      <c r="S16" s="264"/>
      <c r="T16" s="264"/>
      <c r="U16" s="264"/>
      <c r="V16" s="262"/>
      <c r="X16" s="178"/>
      <c r="Y16" s="178"/>
    </row>
    <row r="17" spans="1:22" ht="14.5" x14ac:dyDescent="0.35">
      <c r="A17" s="132"/>
      <c r="B17" s="133" t="s">
        <v>1121</v>
      </c>
      <c r="C17" s="263">
        <f>Establishment!C15</f>
        <v>0</v>
      </c>
      <c r="D17" s="264">
        <f>Establishment!D15</f>
        <v>0</v>
      </c>
      <c r="E17" s="264">
        <f>Establishment!E15</f>
        <v>0</v>
      </c>
      <c r="F17" s="264">
        <f>Establishment!F15</f>
        <v>0</v>
      </c>
      <c r="G17" s="264">
        <f>Establishment!G15</f>
        <v>0</v>
      </c>
      <c r="H17" s="262">
        <f>Establishment!H15</f>
        <v>0</v>
      </c>
      <c r="J17" s="263"/>
      <c r="K17" s="264"/>
      <c r="L17" s="264"/>
      <c r="M17" s="264"/>
      <c r="N17" s="264"/>
      <c r="O17" s="262"/>
      <c r="Q17" s="263"/>
      <c r="R17" s="264"/>
      <c r="S17" s="264"/>
      <c r="T17" s="264"/>
      <c r="U17" s="264"/>
      <c r="V17" s="262"/>
    </row>
    <row r="18" spans="1:22" ht="14.5" x14ac:dyDescent="0.35">
      <c r="A18" s="132"/>
      <c r="B18" s="133" t="s">
        <v>1121</v>
      </c>
      <c r="C18" s="263">
        <f>Establishment!C16</f>
        <v>0</v>
      </c>
      <c r="D18" s="264">
        <f>Establishment!D16</f>
        <v>0</v>
      </c>
      <c r="E18" s="264">
        <f>Establishment!E16</f>
        <v>0</v>
      </c>
      <c r="F18" s="264">
        <f>Establishment!F16</f>
        <v>0</v>
      </c>
      <c r="G18" s="264">
        <f>Establishment!G16</f>
        <v>0</v>
      </c>
      <c r="H18" s="262">
        <f>Establishment!H16</f>
        <v>0</v>
      </c>
      <c r="J18" s="263"/>
      <c r="K18" s="264"/>
      <c r="L18" s="264"/>
      <c r="M18" s="264"/>
      <c r="N18" s="264"/>
      <c r="O18" s="262"/>
      <c r="Q18" s="263"/>
      <c r="R18" s="264"/>
      <c r="S18" s="264"/>
      <c r="T18" s="264"/>
      <c r="U18" s="264"/>
      <c r="V18" s="262"/>
    </row>
    <row r="19" spans="1:22" ht="15" thickBot="1" x14ac:dyDescent="0.4">
      <c r="A19" s="132"/>
      <c r="B19" s="133" t="s">
        <v>1121</v>
      </c>
      <c r="C19" s="265">
        <f>Establishment!C17</f>
        <v>0</v>
      </c>
      <c r="D19" s="266">
        <f>Establishment!D17</f>
        <v>0</v>
      </c>
      <c r="E19" s="266">
        <f>Establishment!E17</f>
        <v>0</v>
      </c>
      <c r="F19" s="266">
        <f>Establishment!F17</f>
        <v>0</v>
      </c>
      <c r="G19" s="266">
        <f>Establishment!G17</f>
        <v>0</v>
      </c>
      <c r="H19" s="267">
        <f>Establishment!H17</f>
        <v>0</v>
      </c>
      <c r="J19" s="265"/>
      <c r="K19" s="266"/>
      <c r="L19" s="266"/>
      <c r="M19" s="266"/>
      <c r="N19" s="266"/>
      <c r="O19" s="267"/>
      <c r="Q19" s="265"/>
      <c r="R19" s="266"/>
      <c r="S19" s="266"/>
      <c r="T19" s="266"/>
      <c r="U19" s="266"/>
      <c r="V19" s="267"/>
    </row>
    <row r="21" spans="1:22" ht="13.5" thickBot="1" x14ac:dyDescent="0.3">
      <c r="B21" s="20" t="s">
        <v>1282</v>
      </c>
      <c r="C21" s="19">
        <f t="shared" ref="C21:H21" si="0">SUM(C9:C19)</f>
        <v>0</v>
      </c>
      <c r="D21" s="19">
        <f t="shared" si="0"/>
        <v>0</v>
      </c>
      <c r="E21" s="19">
        <f t="shared" si="0"/>
        <v>0</v>
      </c>
      <c r="F21" s="19">
        <f t="shared" si="0"/>
        <v>0</v>
      </c>
      <c r="G21" s="19">
        <f t="shared" si="0"/>
        <v>0</v>
      </c>
      <c r="H21" s="19">
        <f t="shared" si="0"/>
        <v>0</v>
      </c>
      <c r="J21" s="19">
        <f t="shared" ref="J21:O21" si="1">SUM(J9:J19)</f>
        <v>0</v>
      </c>
      <c r="K21" s="19">
        <f t="shared" si="1"/>
        <v>0</v>
      </c>
      <c r="L21" s="19">
        <f t="shared" si="1"/>
        <v>0</v>
      </c>
      <c r="M21" s="19">
        <f t="shared" si="1"/>
        <v>0</v>
      </c>
      <c r="N21" s="19">
        <f t="shared" si="1"/>
        <v>0</v>
      </c>
      <c r="O21" s="19">
        <f t="shared" si="1"/>
        <v>0</v>
      </c>
      <c r="Q21" s="19">
        <f t="shared" ref="Q21:V21" si="2">SUM(Q9:Q19)</f>
        <v>0</v>
      </c>
      <c r="R21" s="19">
        <f t="shared" si="2"/>
        <v>0</v>
      </c>
      <c r="S21" s="19">
        <f t="shared" si="2"/>
        <v>0</v>
      </c>
      <c r="T21" s="19">
        <f t="shared" si="2"/>
        <v>0</v>
      </c>
      <c r="U21" s="19">
        <f t="shared" si="2"/>
        <v>0</v>
      </c>
      <c r="V21" s="19">
        <f t="shared" si="2"/>
        <v>0</v>
      </c>
    </row>
    <row r="22" spans="1:22" ht="13" thickTop="1" x14ac:dyDescent="0.25"/>
  </sheetData>
  <mergeCells count="5">
    <mergeCell ref="C7:H7"/>
    <mergeCell ref="J7:O7"/>
    <mergeCell ref="Q7:V7"/>
    <mergeCell ref="B3:C3"/>
    <mergeCell ref="A1:D1"/>
  </mergeCells>
  <pageMargins left="0.7" right="0.7" top="0.75" bottom="0.75" header="0.3" footer="0.3"/>
  <headerFoot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8BA2-A934-400D-94D8-8F660981CA3F}">
  <sheetPr>
    <tabColor rgb="FFFFC000"/>
  </sheetPr>
  <dimension ref="A1:AJ76"/>
  <sheetViews>
    <sheetView topLeftCell="F36" zoomScale="81" zoomScaleNormal="81" workbookViewId="0">
      <selection activeCell="Q56" sqref="Q56"/>
    </sheetView>
  </sheetViews>
  <sheetFormatPr defaultColWidth="8.81640625" defaultRowHeight="14.5" x14ac:dyDescent="0.35"/>
  <cols>
    <col min="1" max="1" width="19.54296875" style="289" customWidth="1"/>
    <col min="2" max="4" width="22.453125" style="289" customWidth="1"/>
    <col min="5" max="5" width="14.54296875" style="289" customWidth="1"/>
    <col min="6" max="8" width="22.453125" style="289" customWidth="1"/>
    <col min="9" max="9" width="14.54296875" style="289" customWidth="1"/>
    <col min="10" max="10" width="10.54296875" style="289" customWidth="1"/>
    <col min="11" max="11" width="11" style="289" customWidth="1"/>
    <col min="12" max="13" width="10.54296875" style="289" customWidth="1"/>
    <col min="14" max="14" width="10.453125" style="289" customWidth="1"/>
    <col min="15" max="15" width="9.54296875" style="289" customWidth="1"/>
    <col min="16" max="16" width="10.81640625" style="289" customWidth="1"/>
    <col min="17" max="17" width="11.453125" style="289" customWidth="1"/>
    <col min="18" max="18" width="8.54296875" style="289" hidden="1" customWidth="1"/>
    <col min="19" max="20" width="0" style="289" hidden="1" customWidth="1"/>
    <col min="21" max="21" width="14.1796875" style="289" customWidth="1"/>
    <col min="22" max="22" width="49.54296875" style="289" customWidth="1"/>
    <col min="23" max="35" width="8.81640625" style="289"/>
    <col min="36" max="36" width="10" style="289" customWidth="1"/>
    <col min="37" max="16384" width="8.81640625" style="289"/>
  </cols>
  <sheetData>
    <row r="1" spans="1:36" customFormat="1" ht="20" x14ac:dyDescent="0.25">
      <c r="A1" s="447" t="s">
        <v>1362</v>
      </c>
      <c r="B1" s="448"/>
      <c r="C1" s="128"/>
      <c r="D1" s="58"/>
      <c r="E1" s="58"/>
      <c r="F1" s="58"/>
      <c r="G1" s="58"/>
      <c r="H1" s="58"/>
      <c r="I1" s="58"/>
      <c r="J1" s="58"/>
      <c r="K1" s="58"/>
      <c r="L1" s="58"/>
      <c r="M1" s="58"/>
      <c r="N1" s="58"/>
      <c r="O1" s="58"/>
    </row>
    <row r="2" spans="1:36" customFormat="1" ht="12.75" customHeight="1" x14ac:dyDescent="0.25">
      <c r="B2" s="10"/>
      <c r="C2" s="11"/>
      <c r="D2" s="11"/>
      <c r="M2" s="10"/>
      <c r="N2" s="10"/>
      <c r="O2" s="12"/>
    </row>
    <row r="3" spans="1:36" customFormat="1" ht="13" x14ac:dyDescent="0.25">
      <c r="A3" s="22" t="s">
        <v>16</v>
      </c>
      <c r="B3" s="449" t="str">
        <f>Summary!C5</f>
        <v>Select School Name</v>
      </c>
      <c r="C3" s="449"/>
      <c r="D3" s="148" t="s">
        <v>1082</v>
      </c>
      <c r="E3" s="127" t="str">
        <f>Summary!C6</f>
        <v>-</v>
      </c>
    </row>
    <row r="4" spans="1:36" ht="15" thickBot="1" x14ac:dyDescent="0.4">
      <c r="A4" s="296"/>
      <c r="B4" s="298"/>
      <c r="C4" s="298"/>
      <c r="D4" s="298"/>
      <c r="E4" s="298"/>
      <c r="F4" s="298"/>
      <c r="G4" s="298"/>
      <c r="H4" s="298"/>
      <c r="I4" s="298"/>
      <c r="J4" s="298"/>
      <c r="K4" s="298"/>
      <c r="L4" s="298"/>
      <c r="M4" s="298"/>
      <c r="N4" s="298"/>
      <c r="O4" s="298"/>
      <c r="P4" s="298"/>
      <c r="Q4" s="298"/>
      <c r="R4" s="298"/>
      <c r="S4" s="298"/>
      <c r="T4" s="298"/>
      <c r="U4" s="297"/>
      <c r="V4" s="298"/>
      <c r="W4" s="298"/>
      <c r="X4" s="298"/>
      <c r="Y4" s="298"/>
      <c r="Z4" s="298"/>
      <c r="AA4" s="298"/>
      <c r="AB4" s="298"/>
      <c r="AC4" s="298"/>
      <c r="AD4" s="298"/>
      <c r="AE4" s="298"/>
      <c r="AF4" s="298"/>
      <c r="AG4" s="298"/>
      <c r="AH4" s="298"/>
      <c r="AI4" s="298"/>
      <c r="AJ4" s="298"/>
    </row>
    <row r="5" spans="1:36" x14ac:dyDescent="0.35">
      <c r="A5" s="351"/>
      <c r="B5" s="352" t="s">
        <v>1363</v>
      </c>
      <c r="C5" s="352"/>
      <c r="D5" s="352"/>
      <c r="E5" s="353"/>
      <c r="F5" s="352" t="s">
        <v>1364</v>
      </c>
      <c r="G5" s="352"/>
      <c r="H5" s="352"/>
      <c r="I5" s="353"/>
      <c r="J5" s="354"/>
      <c r="K5" s="354"/>
      <c r="L5" s="354"/>
      <c r="M5" s="354"/>
      <c r="N5" s="354"/>
      <c r="O5" s="354"/>
      <c r="P5" s="354"/>
      <c r="Q5" s="355"/>
      <c r="R5" s="355"/>
      <c r="S5" s="355"/>
      <c r="T5" s="355"/>
      <c r="U5" s="356"/>
      <c r="V5" s="355"/>
      <c r="W5" s="466" t="s">
        <v>1365</v>
      </c>
      <c r="X5" s="467"/>
      <c r="Y5" s="467"/>
      <c r="Z5" s="467"/>
      <c r="AA5" s="467"/>
      <c r="AB5" s="467"/>
      <c r="AC5" s="467"/>
      <c r="AD5" s="467"/>
      <c r="AE5" s="467"/>
      <c r="AF5" s="467"/>
      <c r="AG5" s="467"/>
      <c r="AH5" s="467"/>
      <c r="AI5" s="467"/>
      <c r="AJ5" s="468"/>
    </row>
    <row r="6" spans="1:36" s="300" customFormat="1" ht="59.9" customHeight="1" thickBot="1" x14ac:dyDescent="0.3">
      <c r="A6" s="357" t="s">
        <v>1366</v>
      </c>
      <c r="B6" s="358" t="s">
        <v>1367</v>
      </c>
      <c r="C6" s="358" t="s">
        <v>1368</v>
      </c>
      <c r="D6" s="358" t="s">
        <v>1369</v>
      </c>
      <c r="E6" s="358" t="s">
        <v>1370</v>
      </c>
      <c r="F6" s="358" t="s">
        <v>1367</v>
      </c>
      <c r="G6" s="358" t="s">
        <v>1368</v>
      </c>
      <c r="H6" s="358" t="s">
        <v>1369</v>
      </c>
      <c r="I6" s="358" t="s">
        <v>1371</v>
      </c>
      <c r="J6" s="358" t="s">
        <v>1372</v>
      </c>
      <c r="K6" s="358" t="s">
        <v>1373</v>
      </c>
      <c r="L6" s="358" t="s">
        <v>1374</v>
      </c>
      <c r="M6" s="358" t="s">
        <v>1370</v>
      </c>
      <c r="N6" s="358" t="s">
        <v>1375</v>
      </c>
      <c r="O6" s="358" t="s">
        <v>1374</v>
      </c>
      <c r="P6" s="358" t="s">
        <v>1376</v>
      </c>
      <c r="Q6" s="358" t="s">
        <v>1372</v>
      </c>
      <c r="R6" s="358" t="s">
        <v>1377</v>
      </c>
      <c r="S6" s="358" t="s">
        <v>1378</v>
      </c>
      <c r="T6" s="358" t="s">
        <v>1379</v>
      </c>
      <c r="U6" s="358" t="s">
        <v>1380</v>
      </c>
      <c r="V6" s="358" t="s">
        <v>1381</v>
      </c>
      <c r="W6" s="359" t="s">
        <v>1382</v>
      </c>
      <c r="X6" s="359" t="s">
        <v>1383</v>
      </c>
      <c r="Y6" s="359" t="s">
        <v>1384</v>
      </c>
      <c r="Z6" s="359" t="s">
        <v>1385</v>
      </c>
      <c r="AA6" s="359" t="s">
        <v>1386</v>
      </c>
      <c r="AB6" s="359" t="s">
        <v>1387</v>
      </c>
      <c r="AC6" s="359" t="s">
        <v>1388</v>
      </c>
      <c r="AD6" s="359" t="s">
        <v>1389</v>
      </c>
      <c r="AE6" s="359" t="s">
        <v>1390</v>
      </c>
      <c r="AF6" s="359" t="s">
        <v>1391</v>
      </c>
      <c r="AG6" s="359" t="s">
        <v>1392</v>
      </c>
      <c r="AH6" s="359" t="s">
        <v>1393</v>
      </c>
      <c r="AI6" s="358" t="s">
        <v>1394</v>
      </c>
      <c r="AJ6" s="360" t="s">
        <v>1395</v>
      </c>
    </row>
    <row r="7" spans="1:36" x14ac:dyDescent="0.35">
      <c r="A7" s="296"/>
      <c r="B7" s="301"/>
      <c r="C7" s="302"/>
      <c r="D7" s="302"/>
      <c r="E7" s="303"/>
      <c r="F7" s="301"/>
      <c r="G7" s="302"/>
      <c r="H7" s="302"/>
      <c r="I7" s="303"/>
      <c r="J7" s="302"/>
      <c r="K7" s="302"/>
      <c r="L7" s="302"/>
      <c r="M7" s="302"/>
      <c r="N7" s="302"/>
      <c r="O7" s="302"/>
      <c r="P7" s="302"/>
      <c r="Q7" s="302"/>
      <c r="R7" s="302"/>
      <c r="S7" s="302"/>
      <c r="T7" s="302"/>
      <c r="U7" s="299"/>
      <c r="V7" s="304"/>
      <c r="W7" s="305"/>
      <c r="X7" s="306"/>
      <c r="Y7" s="306"/>
      <c r="Z7" s="306"/>
      <c r="AA7" s="306"/>
      <c r="AB7" s="306"/>
      <c r="AC7" s="306"/>
      <c r="AD7" s="306"/>
      <c r="AE7" s="306"/>
      <c r="AF7" s="306"/>
      <c r="AG7" s="306"/>
      <c r="AH7" s="306"/>
      <c r="AI7" s="306"/>
      <c r="AJ7" s="307"/>
    </row>
    <row r="8" spans="1:36" x14ac:dyDescent="0.35">
      <c r="A8" s="295" t="s">
        <v>1396</v>
      </c>
      <c r="B8" s="301"/>
      <c r="C8" s="302"/>
      <c r="D8" s="302"/>
      <c r="E8" s="303"/>
      <c r="F8" s="301"/>
      <c r="G8" s="302"/>
      <c r="H8" s="302"/>
      <c r="I8" s="303"/>
      <c r="J8" s="302"/>
      <c r="K8" s="302"/>
      <c r="L8" s="302"/>
      <c r="M8" s="302"/>
      <c r="N8" s="302"/>
      <c r="O8" s="302"/>
      <c r="P8" s="302"/>
      <c r="Q8" s="302"/>
      <c r="R8" s="302"/>
      <c r="S8" s="302"/>
      <c r="T8" s="302"/>
      <c r="U8" s="299"/>
      <c r="V8" s="304"/>
      <c r="W8" s="305"/>
      <c r="X8" s="306"/>
      <c r="Y8" s="306"/>
      <c r="Z8" s="306"/>
      <c r="AA8" s="306"/>
      <c r="AB8" s="306"/>
      <c r="AC8" s="306"/>
      <c r="AD8" s="306"/>
      <c r="AE8" s="306"/>
      <c r="AF8" s="306"/>
      <c r="AG8" s="306"/>
      <c r="AH8" s="306"/>
      <c r="AI8" s="306"/>
      <c r="AJ8" s="307"/>
    </row>
    <row r="9" spans="1:36" x14ac:dyDescent="0.35">
      <c r="A9" s="361"/>
      <c r="B9" s="362"/>
      <c r="C9" s="363"/>
      <c r="D9" s="363"/>
      <c r="E9" s="364"/>
      <c r="F9" s="362"/>
      <c r="G9" s="363"/>
      <c r="H9" s="363"/>
      <c r="I9" s="364"/>
      <c r="J9" s="365">
        <v>0</v>
      </c>
      <c r="K9" s="365">
        <v>0</v>
      </c>
      <c r="L9" s="365">
        <f>J9+K9</f>
        <v>0</v>
      </c>
      <c r="M9" s="365">
        <f>I9</f>
        <v>0</v>
      </c>
      <c r="N9" s="365">
        <v>0</v>
      </c>
      <c r="O9" s="365">
        <f>M9+N9</f>
        <v>0</v>
      </c>
      <c r="P9" s="365">
        <f>L9-O9</f>
        <v>0</v>
      </c>
      <c r="Q9" s="366">
        <f>J9</f>
        <v>0</v>
      </c>
      <c r="R9" s="367"/>
      <c r="S9" s="367"/>
      <c r="T9" s="367"/>
      <c r="U9" s="368"/>
      <c r="V9" s="369"/>
      <c r="W9" s="370"/>
      <c r="X9" s="370"/>
      <c r="Y9" s="370"/>
      <c r="Z9" s="370"/>
      <c r="AA9" s="370"/>
      <c r="AB9" s="370"/>
      <c r="AC9" s="370"/>
      <c r="AD9" s="370"/>
      <c r="AE9" s="370"/>
      <c r="AF9" s="370"/>
      <c r="AG9" s="370"/>
      <c r="AH9" s="370"/>
      <c r="AI9" s="371">
        <f t="shared" ref="AI9:AI30" si="0">SUM(W9:AH9)</f>
        <v>0</v>
      </c>
      <c r="AJ9" s="372">
        <f t="shared" ref="AJ9:AJ30" si="1">Q9-AI9</f>
        <v>0</v>
      </c>
    </row>
    <row r="10" spans="1:36" x14ac:dyDescent="0.35">
      <c r="A10" s="361"/>
      <c r="B10" s="362"/>
      <c r="C10" s="363"/>
      <c r="D10" s="363"/>
      <c r="E10" s="364"/>
      <c r="F10" s="362"/>
      <c r="G10" s="363"/>
      <c r="H10" s="363"/>
      <c r="I10" s="364"/>
      <c r="J10" s="365">
        <v>0</v>
      </c>
      <c r="K10" s="365">
        <v>0</v>
      </c>
      <c r="L10" s="365">
        <f t="shared" ref="L10:L30" si="2">J10+K10</f>
        <v>0</v>
      </c>
      <c r="M10" s="365">
        <f t="shared" ref="M10:M65" si="3">I10</f>
        <v>0</v>
      </c>
      <c r="N10" s="365">
        <v>0</v>
      </c>
      <c r="O10" s="365">
        <f t="shared" ref="O10:O65" si="4">M10+N10</f>
        <v>0</v>
      </c>
      <c r="P10" s="365">
        <f t="shared" ref="P10:P30" si="5">L10-O10</f>
        <v>0</v>
      </c>
      <c r="Q10" s="366">
        <f t="shared" ref="Q10:Q65" si="6">J10</f>
        <v>0</v>
      </c>
      <c r="R10" s="367"/>
      <c r="S10" s="367"/>
      <c r="T10" s="367"/>
      <c r="U10" s="368"/>
      <c r="V10" s="369"/>
      <c r="W10" s="370"/>
      <c r="X10" s="370"/>
      <c r="Y10" s="370"/>
      <c r="Z10" s="370"/>
      <c r="AA10" s="373"/>
      <c r="AB10" s="370"/>
      <c r="AC10" s="370"/>
      <c r="AD10" s="370"/>
      <c r="AE10" s="370"/>
      <c r="AF10" s="370"/>
      <c r="AG10" s="370"/>
      <c r="AH10" s="370"/>
      <c r="AI10" s="371">
        <f t="shared" si="0"/>
        <v>0</v>
      </c>
      <c r="AJ10" s="372">
        <f t="shared" si="1"/>
        <v>0</v>
      </c>
    </row>
    <row r="11" spans="1:36" x14ac:dyDescent="0.35">
      <c r="A11" s="361"/>
      <c r="B11" s="362"/>
      <c r="C11" s="363"/>
      <c r="D11" s="363"/>
      <c r="E11" s="364"/>
      <c r="F11" s="362"/>
      <c r="G11" s="363"/>
      <c r="H11" s="363"/>
      <c r="I11" s="364"/>
      <c r="J11" s="365">
        <v>0</v>
      </c>
      <c r="K11" s="365">
        <v>0</v>
      </c>
      <c r="L11" s="365">
        <f t="shared" si="2"/>
        <v>0</v>
      </c>
      <c r="M11" s="365">
        <f t="shared" si="3"/>
        <v>0</v>
      </c>
      <c r="N11" s="365">
        <v>0</v>
      </c>
      <c r="O11" s="365">
        <f t="shared" si="4"/>
        <v>0</v>
      </c>
      <c r="P11" s="365">
        <f t="shared" si="5"/>
        <v>0</v>
      </c>
      <c r="Q11" s="366">
        <f t="shared" si="6"/>
        <v>0</v>
      </c>
      <c r="R11" s="367"/>
      <c r="S11" s="367"/>
      <c r="T11" s="367"/>
      <c r="U11" s="368"/>
      <c r="V11" s="369"/>
      <c r="W11" s="370"/>
      <c r="X11" s="370"/>
      <c r="Y11" s="370"/>
      <c r="Z11" s="370"/>
      <c r="AA11" s="370"/>
      <c r="AB11" s="370"/>
      <c r="AC11" s="370"/>
      <c r="AD11" s="370"/>
      <c r="AE11" s="370"/>
      <c r="AF11" s="370"/>
      <c r="AG11" s="370"/>
      <c r="AH11" s="370"/>
      <c r="AI11" s="371">
        <f t="shared" si="0"/>
        <v>0</v>
      </c>
      <c r="AJ11" s="372">
        <f t="shared" si="1"/>
        <v>0</v>
      </c>
    </row>
    <row r="12" spans="1:36" x14ac:dyDescent="0.35">
      <c r="A12" s="361"/>
      <c r="B12" s="362"/>
      <c r="C12" s="363"/>
      <c r="D12" s="363"/>
      <c r="E12" s="364"/>
      <c r="F12" s="362"/>
      <c r="G12" s="363"/>
      <c r="H12" s="363"/>
      <c r="I12" s="364"/>
      <c r="J12" s="365">
        <v>0</v>
      </c>
      <c r="K12" s="365">
        <v>0</v>
      </c>
      <c r="L12" s="365">
        <f t="shared" si="2"/>
        <v>0</v>
      </c>
      <c r="M12" s="365">
        <f t="shared" si="3"/>
        <v>0</v>
      </c>
      <c r="N12" s="365">
        <v>0</v>
      </c>
      <c r="O12" s="365">
        <f t="shared" si="4"/>
        <v>0</v>
      </c>
      <c r="P12" s="365">
        <f t="shared" si="5"/>
        <v>0</v>
      </c>
      <c r="Q12" s="366">
        <f t="shared" si="6"/>
        <v>0</v>
      </c>
      <c r="R12" s="367"/>
      <c r="S12" s="367"/>
      <c r="T12" s="367"/>
      <c r="U12" s="368"/>
      <c r="V12" s="369"/>
      <c r="W12" s="370"/>
      <c r="X12" s="370"/>
      <c r="Y12" s="370"/>
      <c r="Z12" s="370"/>
      <c r="AA12" s="370"/>
      <c r="AB12" s="370"/>
      <c r="AC12" s="370"/>
      <c r="AD12" s="370"/>
      <c r="AE12" s="370"/>
      <c r="AF12" s="370"/>
      <c r="AG12" s="370"/>
      <c r="AH12" s="370"/>
      <c r="AI12" s="371">
        <f t="shared" si="0"/>
        <v>0</v>
      </c>
      <c r="AJ12" s="372">
        <f t="shared" si="1"/>
        <v>0</v>
      </c>
    </row>
    <row r="13" spans="1:36" x14ac:dyDescent="0.35">
      <c r="A13" s="361"/>
      <c r="B13" s="362"/>
      <c r="C13" s="363"/>
      <c r="D13" s="363"/>
      <c r="E13" s="364"/>
      <c r="F13" s="362"/>
      <c r="G13" s="363"/>
      <c r="H13" s="363"/>
      <c r="I13" s="364"/>
      <c r="J13" s="365">
        <v>0</v>
      </c>
      <c r="K13" s="365">
        <v>0</v>
      </c>
      <c r="L13" s="365">
        <f t="shared" si="2"/>
        <v>0</v>
      </c>
      <c r="M13" s="365">
        <f t="shared" si="3"/>
        <v>0</v>
      </c>
      <c r="N13" s="365">
        <v>0</v>
      </c>
      <c r="O13" s="365">
        <f t="shared" si="4"/>
        <v>0</v>
      </c>
      <c r="P13" s="365">
        <f t="shared" si="5"/>
        <v>0</v>
      </c>
      <c r="Q13" s="366">
        <f t="shared" si="6"/>
        <v>0</v>
      </c>
      <c r="R13" s="367"/>
      <c r="S13" s="367"/>
      <c r="T13" s="367"/>
      <c r="U13" s="368"/>
      <c r="V13" s="369"/>
      <c r="W13" s="370"/>
      <c r="X13" s="370"/>
      <c r="Y13" s="370"/>
      <c r="Z13" s="370"/>
      <c r="AA13" s="370"/>
      <c r="AB13" s="370"/>
      <c r="AC13" s="370"/>
      <c r="AD13" s="370"/>
      <c r="AE13" s="370"/>
      <c r="AF13" s="370"/>
      <c r="AG13" s="370"/>
      <c r="AH13" s="370"/>
      <c r="AI13" s="371">
        <f t="shared" si="0"/>
        <v>0</v>
      </c>
      <c r="AJ13" s="372">
        <f t="shared" si="1"/>
        <v>0</v>
      </c>
    </row>
    <row r="14" spans="1:36" x14ac:dyDescent="0.35">
      <c r="A14" s="361"/>
      <c r="B14" s="362"/>
      <c r="C14" s="363"/>
      <c r="D14" s="363"/>
      <c r="E14" s="364"/>
      <c r="F14" s="362"/>
      <c r="G14" s="363"/>
      <c r="H14" s="363"/>
      <c r="I14" s="364"/>
      <c r="J14" s="365">
        <v>0</v>
      </c>
      <c r="K14" s="365">
        <v>0</v>
      </c>
      <c r="L14" s="365">
        <f t="shared" si="2"/>
        <v>0</v>
      </c>
      <c r="M14" s="365">
        <f t="shared" si="3"/>
        <v>0</v>
      </c>
      <c r="N14" s="365">
        <v>0</v>
      </c>
      <c r="O14" s="365">
        <f t="shared" si="4"/>
        <v>0</v>
      </c>
      <c r="P14" s="365">
        <f t="shared" si="5"/>
        <v>0</v>
      </c>
      <c r="Q14" s="366">
        <f t="shared" si="6"/>
        <v>0</v>
      </c>
      <c r="R14" s="367"/>
      <c r="S14" s="367"/>
      <c r="T14" s="367"/>
      <c r="U14" s="368"/>
      <c r="V14" s="369"/>
      <c r="W14" s="370"/>
      <c r="X14" s="370"/>
      <c r="Y14" s="370"/>
      <c r="Z14" s="370"/>
      <c r="AA14" s="370"/>
      <c r="AB14" s="370"/>
      <c r="AC14" s="370"/>
      <c r="AD14" s="370"/>
      <c r="AE14" s="370"/>
      <c r="AF14" s="370"/>
      <c r="AG14" s="370"/>
      <c r="AH14" s="370"/>
      <c r="AI14" s="371">
        <f t="shared" si="0"/>
        <v>0</v>
      </c>
      <c r="AJ14" s="372">
        <f t="shared" si="1"/>
        <v>0</v>
      </c>
    </row>
    <row r="15" spans="1:36" x14ac:dyDescent="0.35">
      <c r="A15" s="361"/>
      <c r="B15" s="362"/>
      <c r="C15" s="363"/>
      <c r="D15" s="363"/>
      <c r="E15" s="364"/>
      <c r="F15" s="362"/>
      <c r="G15" s="363"/>
      <c r="H15" s="363"/>
      <c r="I15" s="364"/>
      <c r="J15" s="365">
        <v>0</v>
      </c>
      <c r="K15" s="365">
        <v>0</v>
      </c>
      <c r="L15" s="365">
        <f t="shared" si="2"/>
        <v>0</v>
      </c>
      <c r="M15" s="365">
        <f t="shared" si="3"/>
        <v>0</v>
      </c>
      <c r="N15" s="365">
        <v>0</v>
      </c>
      <c r="O15" s="365">
        <f t="shared" si="4"/>
        <v>0</v>
      </c>
      <c r="P15" s="365">
        <f t="shared" si="5"/>
        <v>0</v>
      </c>
      <c r="Q15" s="366">
        <f t="shared" si="6"/>
        <v>0</v>
      </c>
      <c r="R15" s="367"/>
      <c r="S15" s="367"/>
      <c r="T15" s="367"/>
      <c r="U15" s="368"/>
      <c r="V15" s="369"/>
      <c r="W15" s="370"/>
      <c r="X15" s="370"/>
      <c r="Y15" s="370"/>
      <c r="Z15" s="370"/>
      <c r="AA15" s="370"/>
      <c r="AB15" s="370"/>
      <c r="AC15" s="370"/>
      <c r="AD15" s="370"/>
      <c r="AE15" s="370"/>
      <c r="AF15" s="370"/>
      <c r="AG15" s="370"/>
      <c r="AH15" s="370"/>
      <c r="AI15" s="371">
        <f t="shared" si="0"/>
        <v>0</v>
      </c>
      <c r="AJ15" s="372">
        <f t="shared" si="1"/>
        <v>0</v>
      </c>
    </row>
    <row r="16" spans="1:36" x14ac:dyDescent="0.35">
      <c r="A16" s="361"/>
      <c r="B16" s="362"/>
      <c r="C16" s="363"/>
      <c r="D16" s="363"/>
      <c r="E16" s="364"/>
      <c r="F16" s="362"/>
      <c r="G16" s="363"/>
      <c r="H16" s="363"/>
      <c r="I16" s="364"/>
      <c r="J16" s="365">
        <v>0</v>
      </c>
      <c r="K16" s="365">
        <v>0</v>
      </c>
      <c r="L16" s="365">
        <f t="shared" si="2"/>
        <v>0</v>
      </c>
      <c r="M16" s="365">
        <f t="shared" si="3"/>
        <v>0</v>
      </c>
      <c r="N16" s="365">
        <v>0</v>
      </c>
      <c r="O16" s="365">
        <f t="shared" si="4"/>
        <v>0</v>
      </c>
      <c r="P16" s="365">
        <f t="shared" si="5"/>
        <v>0</v>
      </c>
      <c r="Q16" s="366">
        <f t="shared" si="6"/>
        <v>0</v>
      </c>
      <c r="R16" s="367"/>
      <c r="S16" s="367"/>
      <c r="T16" s="367"/>
      <c r="U16" s="368"/>
      <c r="V16" s="369"/>
      <c r="W16" s="370"/>
      <c r="X16" s="370"/>
      <c r="Y16" s="370"/>
      <c r="Z16" s="370"/>
      <c r="AA16" s="370"/>
      <c r="AB16" s="370"/>
      <c r="AC16" s="370"/>
      <c r="AD16" s="370"/>
      <c r="AE16" s="370"/>
      <c r="AF16" s="370"/>
      <c r="AG16" s="370"/>
      <c r="AH16" s="370"/>
      <c r="AI16" s="371">
        <f t="shared" si="0"/>
        <v>0</v>
      </c>
      <c r="AJ16" s="372">
        <f t="shared" si="1"/>
        <v>0</v>
      </c>
    </row>
    <row r="17" spans="1:36" x14ac:dyDescent="0.35">
      <c r="A17" s="361"/>
      <c r="B17" s="362"/>
      <c r="C17" s="363"/>
      <c r="D17" s="363"/>
      <c r="E17" s="364"/>
      <c r="F17" s="362"/>
      <c r="G17" s="363"/>
      <c r="H17" s="363"/>
      <c r="I17" s="364"/>
      <c r="J17" s="365">
        <v>0</v>
      </c>
      <c r="K17" s="365">
        <v>0</v>
      </c>
      <c r="L17" s="365">
        <f t="shared" si="2"/>
        <v>0</v>
      </c>
      <c r="M17" s="365">
        <f t="shared" si="3"/>
        <v>0</v>
      </c>
      <c r="N17" s="365">
        <v>0</v>
      </c>
      <c r="O17" s="365">
        <f t="shared" si="4"/>
        <v>0</v>
      </c>
      <c r="P17" s="365">
        <f t="shared" si="5"/>
        <v>0</v>
      </c>
      <c r="Q17" s="366">
        <f t="shared" si="6"/>
        <v>0</v>
      </c>
      <c r="R17" s="367"/>
      <c r="S17" s="367"/>
      <c r="T17" s="367"/>
      <c r="U17" s="368"/>
      <c r="V17" s="369"/>
      <c r="W17" s="370"/>
      <c r="X17" s="370"/>
      <c r="Y17" s="370"/>
      <c r="Z17" s="370"/>
      <c r="AA17" s="370"/>
      <c r="AB17" s="370"/>
      <c r="AC17" s="370"/>
      <c r="AD17" s="370"/>
      <c r="AE17" s="370"/>
      <c r="AF17" s="370"/>
      <c r="AG17" s="370"/>
      <c r="AH17" s="370"/>
      <c r="AI17" s="371">
        <f t="shared" si="0"/>
        <v>0</v>
      </c>
      <c r="AJ17" s="372">
        <f t="shared" si="1"/>
        <v>0</v>
      </c>
    </row>
    <row r="18" spans="1:36" x14ac:dyDescent="0.35">
      <c r="A18" s="361"/>
      <c r="B18" s="362"/>
      <c r="C18" s="363"/>
      <c r="D18" s="363"/>
      <c r="E18" s="364"/>
      <c r="F18" s="362"/>
      <c r="G18" s="363"/>
      <c r="H18" s="363"/>
      <c r="I18" s="364"/>
      <c r="J18" s="365">
        <v>0</v>
      </c>
      <c r="K18" s="365">
        <v>0</v>
      </c>
      <c r="L18" s="365">
        <f t="shared" si="2"/>
        <v>0</v>
      </c>
      <c r="M18" s="365">
        <f t="shared" si="3"/>
        <v>0</v>
      </c>
      <c r="N18" s="365">
        <v>0</v>
      </c>
      <c r="O18" s="365">
        <f t="shared" si="4"/>
        <v>0</v>
      </c>
      <c r="P18" s="365">
        <f t="shared" si="5"/>
        <v>0</v>
      </c>
      <c r="Q18" s="366">
        <f t="shared" si="6"/>
        <v>0</v>
      </c>
      <c r="R18" s="367"/>
      <c r="S18" s="367"/>
      <c r="T18" s="367"/>
      <c r="U18" s="368"/>
      <c r="V18" s="369"/>
      <c r="W18" s="370"/>
      <c r="X18" s="370"/>
      <c r="Y18" s="370"/>
      <c r="Z18" s="370"/>
      <c r="AA18" s="370"/>
      <c r="AB18" s="370"/>
      <c r="AC18" s="370"/>
      <c r="AD18" s="370"/>
      <c r="AE18" s="370"/>
      <c r="AF18" s="370"/>
      <c r="AG18" s="370"/>
      <c r="AH18" s="370"/>
      <c r="AI18" s="371">
        <f t="shared" si="0"/>
        <v>0</v>
      </c>
      <c r="AJ18" s="372">
        <f t="shared" si="1"/>
        <v>0</v>
      </c>
    </row>
    <row r="19" spans="1:36" x14ac:dyDescent="0.35">
      <c r="A19" s="361"/>
      <c r="B19" s="362"/>
      <c r="C19" s="363"/>
      <c r="D19" s="363"/>
      <c r="E19" s="364"/>
      <c r="F19" s="362"/>
      <c r="G19" s="363"/>
      <c r="H19" s="363"/>
      <c r="I19" s="364"/>
      <c r="J19" s="365">
        <v>0</v>
      </c>
      <c r="K19" s="365">
        <v>0</v>
      </c>
      <c r="L19" s="365">
        <f t="shared" si="2"/>
        <v>0</v>
      </c>
      <c r="M19" s="365">
        <f t="shared" si="3"/>
        <v>0</v>
      </c>
      <c r="N19" s="365">
        <v>0</v>
      </c>
      <c r="O19" s="365">
        <f t="shared" si="4"/>
        <v>0</v>
      </c>
      <c r="P19" s="365">
        <f t="shared" si="5"/>
        <v>0</v>
      </c>
      <c r="Q19" s="366">
        <f t="shared" si="6"/>
        <v>0</v>
      </c>
      <c r="R19" s="367"/>
      <c r="S19" s="367"/>
      <c r="T19" s="367"/>
      <c r="U19" s="368"/>
      <c r="V19" s="369"/>
      <c r="W19" s="370"/>
      <c r="X19" s="370"/>
      <c r="Y19" s="370"/>
      <c r="Z19" s="370"/>
      <c r="AA19" s="370"/>
      <c r="AB19" s="374"/>
      <c r="AC19" s="370"/>
      <c r="AD19" s="370"/>
      <c r="AE19" s="370"/>
      <c r="AF19" s="370"/>
      <c r="AG19" s="370"/>
      <c r="AH19" s="370"/>
      <c r="AI19" s="371">
        <f t="shared" si="0"/>
        <v>0</v>
      </c>
      <c r="AJ19" s="372">
        <f t="shared" si="1"/>
        <v>0</v>
      </c>
    </row>
    <row r="20" spans="1:36" x14ac:dyDescent="0.35">
      <c r="A20" s="361"/>
      <c r="B20" s="362"/>
      <c r="C20" s="363"/>
      <c r="D20" s="363"/>
      <c r="E20" s="364"/>
      <c r="F20" s="362"/>
      <c r="G20" s="363"/>
      <c r="H20" s="363"/>
      <c r="I20" s="364"/>
      <c r="J20" s="365">
        <v>0</v>
      </c>
      <c r="K20" s="365">
        <v>0</v>
      </c>
      <c r="L20" s="365">
        <f t="shared" si="2"/>
        <v>0</v>
      </c>
      <c r="M20" s="365">
        <f t="shared" si="3"/>
        <v>0</v>
      </c>
      <c r="N20" s="365">
        <v>0</v>
      </c>
      <c r="O20" s="365">
        <f t="shared" si="4"/>
        <v>0</v>
      </c>
      <c r="P20" s="365">
        <f t="shared" si="5"/>
        <v>0</v>
      </c>
      <c r="Q20" s="366">
        <f t="shared" si="6"/>
        <v>0</v>
      </c>
      <c r="R20" s="367"/>
      <c r="S20" s="367"/>
      <c r="T20" s="367"/>
      <c r="U20" s="368"/>
      <c r="V20" s="369"/>
      <c r="W20" s="370"/>
      <c r="X20" s="370"/>
      <c r="Y20" s="370"/>
      <c r="Z20" s="370"/>
      <c r="AA20" s="370"/>
      <c r="AB20" s="370"/>
      <c r="AC20" s="370"/>
      <c r="AD20" s="370"/>
      <c r="AE20" s="370"/>
      <c r="AF20" s="370"/>
      <c r="AG20" s="370"/>
      <c r="AH20" s="370"/>
      <c r="AI20" s="371">
        <f t="shared" si="0"/>
        <v>0</v>
      </c>
      <c r="AJ20" s="372">
        <f t="shared" si="1"/>
        <v>0</v>
      </c>
    </row>
    <row r="21" spans="1:36" x14ac:dyDescent="0.35">
      <c r="A21" s="361"/>
      <c r="B21" s="362"/>
      <c r="C21" s="363"/>
      <c r="D21" s="363"/>
      <c r="E21" s="364"/>
      <c r="F21" s="362"/>
      <c r="G21" s="363"/>
      <c r="H21" s="363"/>
      <c r="I21" s="364"/>
      <c r="J21" s="365">
        <v>0</v>
      </c>
      <c r="K21" s="365">
        <v>0</v>
      </c>
      <c r="L21" s="365">
        <f t="shared" si="2"/>
        <v>0</v>
      </c>
      <c r="M21" s="365">
        <f t="shared" si="3"/>
        <v>0</v>
      </c>
      <c r="N21" s="365">
        <v>0</v>
      </c>
      <c r="O21" s="365">
        <f t="shared" si="4"/>
        <v>0</v>
      </c>
      <c r="P21" s="365">
        <f t="shared" si="5"/>
        <v>0</v>
      </c>
      <c r="Q21" s="366">
        <f t="shared" si="6"/>
        <v>0</v>
      </c>
      <c r="R21" s="367"/>
      <c r="S21" s="367"/>
      <c r="T21" s="367"/>
      <c r="U21" s="368"/>
      <c r="V21" s="369"/>
      <c r="W21" s="370"/>
      <c r="X21" s="370"/>
      <c r="Y21" s="370"/>
      <c r="Z21" s="370"/>
      <c r="AA21" s="370"/>
      <c r="AB21" s="370"/>
      <c r="AC21" s="370"/>
      <c r="AD21" s="370"/>
      <c r="AE21" s="370"/>
      <c r="AF21" s="370"/>
      <c r="AG21" s="370"/>
      <c r="AH21" s="370"/>
      <c r="AI21" s="371">
        <f t="shared" si="0"/>
        <v>0</v>
      </c>
      <c r="AJ21" s="372">
        <f t="shared" si="1"/>
        <v>0</v>
      </c>
    </row>
    <row r="22" spans="1:36" x14ac:dyDescent="0.35">
      <c r="A22" s="361"/>
      <c r="B22" s="362"/>
      <c r="C22" s="363"/>
      <c r="D22" s="363"/>
      <c r="E22" s="364"/>
      <c r="F22" s="362"/>
      <c r="G22" s="363"/>
      <c r="H22" s="363"/>
      <c r="I22" s="364"/>
      <c r="J22" s="365">
        <v>0</v>
      </c>
      <c r="K22" s="365">
        <v>0</v>
      </c>
      <c r="L22" s="365">
        <f t="shared" si="2"/>
        <v>0</v>
      </c>
      <c r="M22" s="365">
        <f t="shared" si="3"/>
        <v>0</v>
      </c>
      <c r="N22" s="365">
        <v>0</v>
      </c>
      <c r="O22" s="365">
        <f t="shared" si="4"/>
        <v>0</v>
      </c>
      <c r="P22" s="365">
        <f t="shared" si="5"/>
        <v>0</v>
      </c>
      <c r="Q22" s="366">
        <f t="shared" si="6"/>
        <v>0</v>
      </c>
      <c r="R22" s="367"/>
      <c r="S22" s="367"/>
      <c r="T22" s="367"/>
      <c r="U22" s="368"/>
      <c r="V22" s="369"/>
      <c r="W22" s="370"/>
      <c r="X22" s="370"/>
      <c r="Y22" s="370"/>
      <c r="Z22" s="370"/>
      <c r="AA22" s="370"/>
      <c r="AB22" s="370"/>
      <c r="AC22" s="370"/>
      <c r="AD22" s="370"/>
      <c r="AE22" s="370"/>
      <c r="AF22" s="370"/>
      <c r="AG22" s="370"/>
      <c r="AH22" s="370"/>
      <c r="AI22" s="371">
        <f t="shared" si="0"/>
        <v>0</v>
      </c>
      <c r="AJ22" s="372">
        <f t="shared" si="1"/>
        <v>0</v>
      </c>
    </row>
    <row r="23" spans="1:36" x14ac:dyDescent="0.35">
      <c r="A23" s="361"/>
      <c r="B23" s="362"/>
      <c r="C23" s="363"/>
      <c r="D23" s="363"/>
      <c r="E23" s="364"/>
      <c r="F23" s="362"/>
      <c r="G23" s="363"/>
      <c r="H23" s="363"/>
      <c r="I23" s="364"/>
      <c r="J23" s="365">
        <v>0</v>
      </c>
      <c r="K23" s="365">
        <v>0</v>
      </c>
      <c r="L23" s="365">
        <f t="shared" si="2"/>
        <v>0</v>
      </c>
      <c r="M23" s="365">
        <f t="shared" si="3"/>
        <v>0</v>
      </c>
      <c r="N23" s="365">
        <v>0</v>
      </c>
      <c r="O23" s="365">
        <f t="shared" si="4"/>
        <v>0</v>
      </c>
      <c r="P23" s="365">
        <f t="shared" si="5"/>
        <v>0</v>
      </c>
      <c r="Q23" s="366">
        <f t="shared" si="6"/>
        <v>0</v>
      </c>
      <c r="R23" s="367"/>
      <c r="S23" s="367"/>
      <c r="T23" s="367"/>
      <c r="U23" s="368"/>
      <c r="V23" s="369"/>
      <c r="W23" s="370"/>
      <c r="X23" s="370"/>
      <c r="Y23" s="370"/>
      <c r="Z23" s="370"/>
      <c r="AA23" s="370"/>
      <c r="AB23" s="370"/>
      <c r="AC23" s="370"/>
      <c r="AD23" s="370"/>
      <c r="AE23" s="370"/>
      <c r="AF23" s="370"/>
      <c r="AG23" s="370"/>
      <c r="AH23" s="370"/>
      <c r="AI23" s="371">
        <f t="shared" si="0"/>
        <v>0</v>
      </c>
      <c r="AJ23" s="372">
        <f t="shared" si="1"/>
        <v>0</v>
      </c>
    </row>
    <row r="24" spans="1:36" x14ac:dyDescent="0.35">
      <c r="A24" s="361"/>
      <c r="B24" s="362"/>
      <c r="C24" s="362"/>
      <c r="D24" s="362"/>
      <c r="E24" s="364"/>
      <c r="F24" s="362"/>
      <c r="G24" s="362"/>
      <c r="H24" s="362"/>
      <c r="I24" s="364"/>
      <c r="J24" s="365">
        <v>0</v>
      </c>
      <c r="K24" s="365">
        <v>0</v>
      </c>
      <c r="L24" s="365">
        <f t="shared" si="2"/>
        <v>0</v>
      </c>
      <c r="M24" s="365">
        <f t="shared" si="3"/>
        <v>0</v>
      </c>
      <c r="N24" s="365">
        <v>0</v>
      </c>
      <c r="O24" s="365">
        <f t="shared" si="4"/>
        <v>0</v>
      </c>
      <c r="P24" s="365">
        <f t="shared" si="5"/>
        <v>0</v>
      </c>
      <c r="Q24" s="366">
        <f t="shared" si="6"/>
        <v>0</v>
      </c>
      <c r="R24" s="367"/>
      <c r="S24" s="367"/>
      <c r="T24" s="367"/>
      <c r="U24" s="368"/>
      <c r="V24" s="369"/>
      <c r="W24" s="370"/>
      <c r="X24" s="370"/>
      <c r="Y24" s="370"/>
      <c r="Z24" s="370"/>
      <c r="AA24" s="370"/>
      <c r="AB24" s="370"/>
      <c r="AC24" s="370"/>
      <c r="AD24" s="370"/>
      <c r="AE24" s="370"/>
      <c r="AF24" s="370"/>
      <c r="AG24" s="370"/>
      <c r="AH24" s="370"/>
      <c r="AI24" s="371">
        <f t="shared" si="0"/>
        <v>0</v>
      </c>
      <c r="AJ24" s="372">
        <f t="shared" si="1"/>
        <v>0</v>
      </c>
    </row>
    <row r="25" spans="1:36" x14ac:dyDescent="0.35">
      <c r="A25" s="361"/>
      <c r="B25" s="362"/>
      <c r="C25" s="362"/>
      <c r="D25" s="362"/>
      <c r="E25" s="364"/>
      <c r="F25" s="362"/>
      <c r="G25" s="362"/>
      <c r="H25" s="362"/>
      <c r="I25" s="364"/>
      <c r="J25" s="365">
        <v>0</v>
      </c>
      <c r="K25" s="365">
        <v>0</v>
      </c>
      <c r="L25" s="365">
        <f t="shared" si="2"/>
        <v>0</v>
      </c>
      <c r="M25" s="365">
        <f t="shared" si="3"/>
        <v>0</v>
      </c>
      <c r="N25" s="365">
        <v>0</v>
      </c>
      <c r="O25" s="365">
        <f t="shared" si="4"/>
        <v>0</v>
      </c>
      <c r="P25" s="365">
        <f t="shared" si="5"/>
        <v>0</v>
      </c>
      <c r="Q25" s="366">
        <f t="shared" si="6"/>
        <v>0</v>
      </c>
      <c r="R25" s="367"/>
      <c r="S25" s="367"/>
      <c r="T25" s="367"/>
      <c r="U25" s="368"/>
      <c r="V25" s="369"/>
      <c r="W25" s="370"/>
      <c r="X25" s="370"/>
      <c r="Y25" s="370"/>
      <c r="Z25" s="370"/>
      <c r="AA25" s="370"/>
      <c r="AB25" s="370"/>
      <c r="AC25" s="370"/>
      <c r="AD25" s="370"/>
      <c r="AE25" s="370"/>
      <c r="AF25" s="370"/>
      <c r="AG25" s="370"/>
      <c r="AH25" s="370"/>
      <c r="AI25" s="371">
        <f t="shared" si="0"/>
        <v>0</v>
      </c>
      <c r="AJ25" s="372">
        <f t="shared" si="1"/>
        <v>0</v>
      </c>
    </row>
    <row r="26" spans="1:36" x14ac:dyDescent="0.35">
      <c r="A26" s="361"/>
      <c r="B26" s="362"/>
      <c r="C26" s="362"/>
      <c r="D26" s="362"/>
      <c r="E26" s="364"/>
      <c r="F26" s="362"/>
      <c r="G26" s="362"/>
      <c r="H26" s="362"/>
      <c r="I26" s="364"/>
      <c r="J26" s="365">
        <v>0</v>
      </c>
      <c r="K26" s="365">
        <v>0</v>
      </c>
      <c r="L26" s="365">
        <f t="shared" si="2"/>
        <v>0</v>
      </c>
      <c r="M26" s="365">
        <f t="shared" si="3"/>
        <v>0</v>
      </c>
      <c r="N26" s="365">
        <v>0</v>
      </c>
      <c r="O26" s="365">
        <f t="shared" si="4"/>
        <v>0</v>
      </c>
      <c r="P26" s="365">
        <f t="shared" si="5"/>
        <v>0</v>
      </c>
      <c r="Q26" s="366">
        <f t="shared" si="6"/>
        <v>0</v>
      </c>
      <c r="R26" s="367"/>
      <c r="S26" s="367"/>
      <c r="T26" s="367"/>
      <c r="U26" s="368"/>
      <c r="V26" s="369"/>
      <c r="W26" s="370"/>
      <c r="X26" s="370"/>
      <c r="Y26" s="370"/>
      <c r="Z26" s="370"/>
      <c r="AA26" s="370"/>
      <c r="AB26" s="370"/>
      <c r="AC26" s="370"/>
      <c r="AD26" s="370"/>
      <c r="AE26" s="370"/>
      <c r="AF26" s="370"/>
      <c r="AG26" s="370"/>
      <c r="AH26" s="370"/>
      <c r="AI26" s="371">
        <f t="shared" si="0"/>
        <v>0</v>
      </c>
      <c r="AJ26" s="372">
        <f t="shared" si="1"/>
        <v>0</v>
      </c>
    </row>
    <row r="27" spans="1:36" x14ac:dyDescent="0.35">
      <c r="A27" s="361"/>
      <c r="B27" s="362"/>
      <c r="C27" s="362"/>
      <c r="D27" s="362"/>
      <c r="E27" s="364"/>
      <c r="F27" s="362"/>
      <c r="G27" s="362"/>
      <c r="H27" s="362"/>
      <c r="I27" s="364"/>
      <c r="J27" s="365">
        <v>0</v>
      </c>
      <c r="K27" s="365">
        <v>0</v>
      </c>
      <c r="L27" s="365">
        <f t="shared" si="2"/>
        <v>0</v>
      </c>
      <c r="M27" s="365">
        <f t="shared" si="3"/>
        <v>0</v>
      </c>
      <c r="N27" s="365">
        <v>0</v>
      </c>
      <c r="O27" s="365">
        <f t="shared" si="4"/>
        <v>0</v>
      </c>
      <c r="P27" s="365">
        <f t="shared" si="5"/>
        <v>0</v>
      </c>
      <c r="Q27" s="366">
        <f t="shared" si="6"/>
        <v>0</v>
      </c>
      <c r="R27" s="367"/>
      <c r="S27" s="367"/>
      <c r="T27" s="367"/>
      <c r="U27" s="368"/>
      <c r="V27" s="369"/>
      <c r="W27" s="370"/>
      <c r="X27" s="370"/>
      <c r="Y27" s="370"/>
      <c r="Z27" s="370"/>
      <c r="AA27" s="370"/>
      <c r="AB27" s="370"/>
      <c r="AC27" s="370"/>
      <c r="AD27" s="370"/>
      <c r="AE27" s="370"/>
      <c r="AF27" s="370"/>
      <c r="AG27" s="370"/>
      <c r="AH27" s="370"/>
      <c r="AI27" s="371">
        <f t="shared" si="0"/>
        <v>0</v>
      </c>
      <c r="AJ27" s="372">
        <f t="shared" si="1"/>
        <v>0</v>
      </c>
    </row>
    <row r="28" spans="1:36" x14ac:dyDescent="0.35">
      <c r="A28" s="361"/>
      <c r="B28" s="362"/>
      <c r="C28" s="362"/>
      <c r="D28" s="362"/>
      <c r="E28" s="364"/>
      <c r="F28" s="362"/>
      <c r="G28" s="362"/>
      <c r="H28" s="362"/>
      <c r="I28" s="364"/>
      <c r="J28" s="365">
        <v>0</v>
      </c>
      <c r="K28" s="365">
        <v>0</v>
      </c>
      <c r="L28" s="365">
        <f t="shared" si="2"/>
        <v>0</v>
      </c>
      <c r="M28" s="365">
        <f t="shared" si="3"/>
        <v>0</v>
      </c>
      <c r="N28" s="365">
        <v>0</v>
      </c>
      <c r="O28" s="365">
        <f t="shared" si="4"/>
        <v>0</v>
      </c>
      <c r="P28" s="365">
        <f t="shared" si="5"/>
        <v>0</v>
      </c>
      <c r="Q28" s="366">
        <f t="shared" si="6"/>
        <v>0</v>
      </c>
      <c r="R28" s="367"/>
      <c r="S28" s="367"/>
      <c r="T28" s="367"/>
      <c r="U28" s="368"/>
      <c r="V28" s="369"/>
      <c r="W28" s="370"/>
      <c r="X28" s="370"/>
      <c r="Y28" s="370"/>
      <c r="Z28" s="370"/>
      <c r="AA28" s="370"/>
      <c r="AB28" s="370"/>
      <c r="AC28" s="370"/>
      <c r="AD28" s="370"/>
      <c r="AE28" s="370"/>
      <c r="AF28" s="370"/>
      <c r="AG28" s="370"/>
      <c r="AH28" s="370"/>
      <c r="AI28" s="371">
        <f t="shared" si="0"/>
        <v>0</v>
      </c>
      <c r="AJ28" s="372">
        <f t="shared" si="1"/>
        <v>0</v>
      </c>
    </row>
    <row r="29" spans="1:36" x14ac:dyDescent="0.35">
      <c r="A29" s="361"/>
      <c r="B29" s="362"/>
      <c r="C29" s="362"/>
      <c r="D29" s="362"/>
      <c r="E29" s="364"/>
      <c r="F29" s="362"/>
      <c r="G29" s="362"/>
      <c r="H29" s="362"/>
      <c r="I29" s="364"/>
      <c r="J29" s="365">
        <v>0</v>
      </c>
      <c r="K29" s="365">
        <v>0</v>
      </c>
      <c r="L29" s="365">
        <f t="shared" si="2"/>
        <v>0</v>
      </c>
      <c r="M29" s="365">
        <f t="shared" si="3"/>
        <v>0</v>
      </c>
      <c r="N29" s="365">
        <v>0</v>
      </c>
      <c r="O29" s="365">
        <f t="shared" si="4"/>
        <v>0</v>
      </c>
      <c r="P29" s="365">
        <f t="shared" si="5"/>
        <v>0</v>
      </c>
      <c r="Q29" s="366">
        <f t="shared" si="6"/>
        <v>0</v>
      </c>
      <c r="R29" s="367"/>
      <c r="S29" s="367"/>
      <c r="T29" s="367"/>
      <c r="U29" s="368"/>
      <c r="V29" s="375"/>
      <c r="W29" s="370"/>
      <c r="X29" s="370"/>
      <c r="Y29" s="370"/>
      <c r="Z29" s="370"/>
      <c r="AA29" s="370"/>
      <c r="AB29" s="370"/>
      <c r="AC29" s="370"/>
      <c r="AD29" s="370"/>
      <c r="AE29" s="370"/>
      <c r="AF29" s="370"/>
      <c r="AG29" s="370"/>
      <c r="AH29" s="370"/>
      <c r="AI29" s="371">
        <f t="shared" si="0"/>
        <v>0</v>
      </c>
      <c r="AJ29" s="372">
        <f t="shared" si="1"/>
        <v>0</v>
      </c>
    </row>
    <row r="30" spans="1:36" x14ac:dyDescent="0.35">
      <c r="A30" s="361"/>
      <c r="B30" s="362"/>
      <c r="C30" s="362"/>
      <c r="D30" s="362"/>
      <c r="E30" s="364"/>
      <c r="F30" s="362"/>
      <c r="G30" s="362"/>
      <c r="H30" s="362"/>
      <c r="I30" s="364"/>
      <c r="J30" s="365">
        <v>0</v>
      </c>
      <c r="K30" s="365">
        <v>0</v>
      </c>
      <c r="L30" s="365">
        <f t="shared" si="2"/>
        <v>0</v>
      </c>
      <c r="M30" s="365">
        <f t="shared" si="3"/>
        <v>0</v>
      </c>
      <c r="N30" s="365">
        <v>0</v>
      </c>
      <c r="O30" s="365">
        <f t="shared" si="4"/>
        <v>0</v>
      </c>
      <c r="P30" s="365">
        <f t="shared" si="5"/>
        <v>0</v>
      </c>
      <c r="Q30" s="366">
        <f t="shared" si="6"/>
        <v>0</v>
      </c>
      <c r="R30" s="367"/>
      <c r="S30" s="367"/>
      <c r="T30" s="367"/>
      <c r="U30" s="368"/>
      <c r="V30" s="375"/>
      <c r="W30" s="370"/>
      <c r="X30" s="370"/>
      <c r="Y30" s="370"/>
      <c r="Z30" s="370"/>
      <c r="AA30" s="370"/>
      <c r="AB30" s="370"/>
      <c r="AC30" s="370"/>
      <c r="AD30" s="370"/>
      <c r="AE30" s="370"/>
      <c r="AF30" s="370"/>
      <c r="AG30" s="370"/>
      <c r="AH30" s="370"/>
      <c r="AI30" s="371">
        <f t="shared" si="0"/>
        <v>0</v>
      </c>
      <c r="AJ30" s="372">
        <f t="shared" si="1"/>
        <v>0</v>
      </c>
    </row>
    <row r="31" spans="1:36" x14ac:dyDescent="0.35">
      <c r="A31" s="295" t="s">
        <v>1397</v>
      </c>
      <c r="B31" s="311"/>
      <c r="C31" s="312"/>
      <c r="D31" s="312"/>
      <c r="E31" s="313"/>
      <c r="F31" s="314"/>
      <c r="G31" s="315"/>
      <c r="H31" s="315"/>
      <c r="I31" s="316"/>
      <c r="J31" s="308"/>
      <c r="K31" s="308"/>
      <c r="L31" s="308"/>
      <c r="M31" s="308"/>
      <c r="N31" s="308"/>
      <c r="O31" s="308"/>
      <c r="P31" s="308"/>
      <c r="Q31" s="317"/>
      <c r="R31" s="317"/>
      <c r="S31" s="317"/>
      <c r="T31" s="317"/>
      <c r="U31" s="318"/>
      <c r="V31" s="319"/>
      <c r="W31" s="320"/>
      <c r="X31" s="309"/>
      <c r="Y31" s="309"/>
      <c r="Z31" s="309"/>
      <c r="AA31" s="309"/>
      <c r="AB31" s="309"/>
      <c r="AC31" s="309"/>
      <c r="AD31" s="309"/>
      <c r="AE31" s="309"/>
      <c r="AF31" s="309"/>
      <c r="AG31" s="309"/>
      <c r="AH31" s="309"/>
      <c r="AI31" s="309"/>
      <c r="AJ31" s="310"/>
    </row>
    <row r="32" spans="1:36" x14ac:dyDescent="0.35">
      <c r="A32" s="361"/>
      <c r="B32" s="362"/>
      <c r="C32" s="363"/>
      <c r="D32" s="362"/>
      <c r="E32" s="376"/>
      <c r="F32" s="362"/>
      <c r="G32" s="363"/>
      <c r="H32" s="362"/>
      <c r="I32" s="377"/>
      <c r="J32" s="365">
        <v>0</v>
      </c>
      <c r="K32" s="365">
        <v>0</v>
      </c>
      <c r="L32" s="365">
        <v>0</v>
      </c>
      <c r="M32" s="365">
        <f t="shared" si="3"/>
        <v>0</v>
      </c>
      <c r="N32" s="365">
        <v>0</v>
      </c>
      <c r="O32" s="365">
        <f t="shared" si="4"/>
        <v>0</v>
      </c>
      <c r="P32" s="365">
        <v>0</v>
      </c>
      <c r="Q32" s="366">
        <f t="shared" si="6"/>
        <v>0</v>
      </c>
      <c r="R32" s="367"/>
      <c r="S32" s="367"/>
      <c r="T32" s="367"/>
      <c r="U32" s="378"/>
      <c r="V32" s="379"/>
      <c r="W32" s="370"/>
      <c r="X32" s="370"/>
      <c r="Y32" s="370"/>
      <c r="Z32" s="370"/>
      <c r="AA32" s="370"/>
      <c r="AB32" s="370"/>
      <c r="AC32" s="370"/>
      <c r="AD32" s="370"/>
      <c r="AE32" s="370"/>
      <c r="AF32" s="370"/>
      <c r="AG32" s="370"/>
      <c r="AH32" s="370"/>
      <c r="AI32" s="371">
        <f t="shared" ref="AI32:AI44" si="7">SUM(W32:AH32)</f>
        <v>0</v>
      </c>
      <c r="AJ32" s="372">
        <v>0</v>
      </c>
    </row>
    <row r="33" spans="1:36" x14ac:dyDescent="0.35">
      <c r="A33" s="361"/>
      <c r="B33" s="380"/>
      <c r="C33" s="380"/>
      <c r="D33" s="380"/>
      <c r="E33" s="381"/>
      <c r="F33" s="380"/>
      <c r="G33" s="380"/>
      <c r="H33" s="380"/>
      <c r="I33" s="382"/>
      <c r="J33" s="365">
        <v>0</v>
      </c>
      <c r="K33" s="365">
        <v>0</v>
      </c>
      <c r="L33" s="365">
        <f t="shared" ref="L33:L44" si="8">J33+K33</f>
        <v>0</v>
      </c>
      <c r="M33" s="365">
        <f t="shared" si="3"/>
        <v>0</v>
      </c>
      <c r="N33" s="365">
        <v>0</v>
      </c>
      <c r="O33" s="365">
        <f t="shared" si="4"/>
        <v>0</v>
      </c>
      <c r="P33" s="365">
        <f t="shared" ref="P33:P44" si="9">L33-O33</f>
        <v>0</v>
      </c>
      <c r="Q33" s="366">
        <f t="shared" si="6"/>
        <v>0</v>
      </c>
      <c r="R33" s="367"/>
      <c r="S33" s="367"/>
      <c r="T33" s="367"/>
      <c r="U33" s="379"/>
      <c r="V33" s="379"/>
      <c r="W33" s="370"/>
      <c r="X33" s="370"/>
      <c r="Y33" s="370"/>
      <c r="Z33" s="370"/>
      <c r="AA33" s="370"/>
      <c r="AB33" s="370"/>
      <c r="AC33" s="370"/>
      <c r="AD33" s="370"/>
      <c r="AE33" s="370"/>
      <c r="AF33" s="370"/>
      <c r="AG33" s="370"/>
      <c r="AH33" s="370"/>
      <c r="AI33" s="371">
        <f t="shared" si="7"/>
        <v>0</v>
      </c>
      <c r="AJ33" s="372">
        <v>0</v>
      </c>
    </row>
    <row r="34" spans="1:36" x14ac:dyDescent="0.35">
      <c r="A34" s="361"/>
      <c r="B34" s="380"/>
      <c r="C34" s="380"/>
      <c r="D34" s="380"/>
      <c r="E34" s="381"/>
      <c r="F34" s="380"/>
      <c r="G34" s="380"/>
      <c r="H34" s="380"/>
      <c r="I34" s="382"/>
      <c r="J34" s="365">
        <v>0</v>
      </c>
      <c r="K34" s="365">
        <v>0</v>
      </c>
      <c r="L34" s="365">
        <f t="shared" si="8"/>
        <v>0</v>
      </c>
      <c r="M34" s="365">
        <f t="shared" si="3"/>
        <v>0</v>
      </c>
      <c r="N34" s="365">
        <v>0</v>
      </c>
      <c r="O34" s="365">
        <f t="shared" si="4"/>
        <v>0</v>
      </c>
      <c r="P34" s="365">
        <f t="shared" si="9"/>
        <v>0</v>
      </c>
      <c r="Q34" s="366">
        <f t="shared" si="6"/>
        <v>0</v>
      </c>
      <c r="R34" s="367"/>
      <c r="S34" s="367"/>
      <c r="T34" s="367"/>
      <c r="U34" s="380"/>
      <c r="V34" s="379"/>
      <c r="W34" s="370"/>
      <c r="X34" s="370"/>
      <c r="Y34" s="370"/>
      <c r="Z34" s="370"/>
      <c r="AA34" s="370"/>
      <c r="AB34" s="370"/>
      <c r="AC34" s="370"/>
      <c r="AD34" s="370"/>
      <c r="AE34" s="370"/>
      <c r="AF34" s="370"/>
      <c r="AG34" s="370"/>
      <c r="AH34" s="370"/>
      <c r="AI34" s="371">
        <f t="shared" si="7"/>
        <v>0</v>
      </c>
      <c r="AJ34" s="372">
        <v>0</v>
      </c>
    </row>
    <row r="35" spans="1:36" x14ac:dyDescent="0.35">
      <c r="A35" s="361"/>
      <c r="B35" s="362"/>
      <c r="C35" s="362"/>
      <c r="D35" s="362"/>
      <c r="E35" s="376"/>
      <c r="F35" s="362"/>
      <c r="G35" s="362"/>
      <c r="H35" s="362"/>
      <c r="I35" s="377"/>
      <c r="J35" s="365">
        <v>0</v>
      </c>
      <c r="K35" s="365">
        <v>0</v>
      </c>
      <c r="L35" s="365">
        <f t="shared" si="8"/>
        <v>0</v>
      </c>
      <c r="M35" s="365">
        <f t="shared" si="3"/>
        <v>0</v>
      </c>
      <c r="N35" s="365">
        <v>0</v>
      </c>
      <c r="O35" s="365">
        <f t="shared" si="4"/>
        <v>0</v>
      </c>
      <c r="P35" s="365">
        <f t="shared" si="9"/>
        <v>0</v>
      </c>
      <c r="Q35" s="366">
        <f t="shared" si="6"/>
        <v>0</v>
      </c>
      <c r="R35" s="367"/>
      <c r="S35" s="367"/>
      <c r="T35" s="367"/>
      <c r="U35" s="368"/>
      <c r="V35" s="375"/>
      <c r="W35" s="370"/>
      <c r="X35" s="370"/>
      <c r="Y35" s="370"/>
      <c r="Z35" s="370"/>
      <c r="AA35" s="370"/>
      <c r="AB35" s="370"/>
      <c r="AC35" s="370"/>
      <c r="AD35" s="370"/>
      <c r="AE35" s="370"/>
      <c r="AF35" s="370"/>
      <c r="AG35" s="370"/>
      <c r="AH35" s="370"/>
      <c r="AI35" s="371">
        <f t="shared" si="7"/>
        <v>0</v>
      </c>
      <c r="AJ35" s="372">
        <v>0</v>
      </c>
    </row>
    <row r="36" spans="1:36" x14ac:dyDescent="0.35">
      <c r="A36" s="361"/>
      <c r="B36" s="380"/>
      <c r="C36" s="380"/>
      <c r="D36" s="380"/>
      <c r="E36" s="381"/>
      <c r="F36" s="380"/>
      <c r="G36" s="380"/>
      <c r="H36" s="380"/>
      <c r="I36" s="382"/>
      <c r="J36" s="365">
        <v>0</v>
      </c>
      <c r="K36" s="365">
        <v>0</v>
      </c>
      <c r="L36" s="365">
        <f t="shared" si="8"/>
        <v>0</v>
      </c>
      <c r="M36" s="365">
        <f t="shared" si="3"/>
        <v>0</v>
      </c>
      <c r="N36" s="365">
        <v>0</v>
      </c>
      <c r="O36" s="365">
        <f t="shared" si="4"/>
        <v>0</v>
      </c>
      <c r="P36" s="365">
        <f t="shared" si="9"/>
        <v>0</v>
      </c>
      <c r="Q36" s="366">
        <f t="shared" si="6"/>
        <v>0</v>
      </c>
      <c r="R36" s="367"/>
      <c r="S36" s="367"/>
      <c r="T36" s="367"/>
      <c r="U36" s="380"/>
      <c r="V36" s="379"/>
      <c r="W36" s="370"/>
      <c r="X36" s="370"/>
      <c r="Y36" s="370"/>
      <c r="Z36" s="370"/>
      <c r="AA36" s="370"/>
      <c r="AB36" s="370"/>
      <c r="AC36" s="370"/>
      <c r="AD36" s="370"/>
      <c r="AE36" s="370"/>
      <c r="AF36" s="370"/>
      <c r="AG36" s="370"/>
      <c r="AH36" s="370"/>
      <c r="AI36" s="371">
        <f t="shared" si="7"/>
        <v>0</v>
      </c>
      <c r="AJ36" s="372">
        <v>0</v>
      </c>
    </row>
    <row r="37" spans="1:36" x14ac:dyDescent="0.35">
      <c r="A37" s="361"/>
      <c r="B37" s="380"/>
      <c r="C37" s="380"/>
      <c r="D37" s="380"/>
      <c r="E37" s="381"/>
      <c r="F37" s="380"/>
      <c r="G37" s="380"/>
      <c r="H37" s="380"/>
      <c r="I37" s="382"/>
      <c r="J37" s="365">
        <v>0</v>
      </c>
      <c r="K37" s="365">
        <v>0</v>
      </c>
      <c r="L37" s="365">
        <f t="shared" si="8"/>
        <v>0</v>
      </c>
      <c r="M37" s="365">
        <f t="shared" si="3"/>
        <v>0</v>
      </c>
      <c r="N37" s="365">
        <v>0</v>
      </c>
      <c r="O37" s="365">
        <f t="shared" si="4"/>
        <v>0</v>
      </c>
      <c r="P37" s="365">
        <f t="shared" si="9"/>
        <v>0</v>
      </c>
      <c r="Q37" s="366">
        <f t="shared" si="6"/>
        <v>0</v>
      </c>
      <c r="R37" s="367"/>
      <c r="S37" s="367"/>
      <c r="T37" s="367"/>
      <c r="U37" s="380"/>
      <c r="V37" s="379"/>
      <c r="W37" s="370"/>
      <c r="X37" s="370"/>
      <c r="Y37" s="370"/>
      <c r="Z37" s="370"/>
      <c r="AA37" s="370"/>
      <c r="AB37" s="370"/>
      <c r="AC37" s="370"/>
      <c r="AD37" s="370"/>
      <c r="AE37" s="370"/>
      <c r="AF37" s="370"/>
      <c r="AG37" s="370"/>
      <c r="AH37" s="370"/>
      <c r="AI37" s="371">
        <f t="shared" si="7"/>
        <v>0</v>
      </c>
      <c r="AJ37" s="372">
        <v>0</v>
      </c>
    </row>
    <row r="38" spans="1:36" x14ac:dyDescent="0.35">
      <c r="A38" s="361"/>
      <c r="B38" s="362"/>
      <c r="C38" s="362"/>
      <c r="D38" s="362"/>
      <c r="E38" s="376"/>
      <c r="F38" s="362"/>
      <c r="G38" s="362"/>
      <c r="H38" s="362"/>
      <c r="I38" s="377"/>
      <c r="J38" s="365">
        <v>0</v>
      </c>
      <c r="K38" s="365">
        <v>0</v>
      </c>
      <c r="L38" s="365">
        <f t="shared" si="8"/>
        <v>0</v>
      </c>
      <c r="M38" s="365">
        <f t="shared" si="3"/>
        <v>0</v>
      </c>
      <c r="N38" s="365">
        <v>0</v>
      </c>
      <c r="O38" s="365">
        <f t="shared" si="4"/>
        <v>0</v>
      </c>
      <c r="P38" s="365">
        <f t="shared" si="9"/>
        <v>0</v>
      </c>
      <c r="Q38" s="366">
        <f t="shared" si="6"/>
        <v>0</v>
      </c>
      <c r="R38" s="367"/>
      <c r="S38" s="367"/>
      <c r="T38" s="367"/>
      <c r="U38" s="368"/>
      <c r="V38" s="379"/>
      <c r="W38" s="370"/>
      <c r="X38" s="370"/>
      <c r="Y38" s="370"/>
      <c r="Z38" s="370"/>
      <c r="AA38" s="370"/>
      <c r="AB38" s="370"/>
      <c r="AC38" s="370"/>
      <c r="AD38" s="370"/>
      <c r="AE38" s="370"/>
      <c r="AF38" s="370"/>
      <c r="AG38" s="370"/>
      <c r="AH38" s="370"/>
      <c r="AI38" s="371">
        <f t="shared" si="7"/>
        <v>0</v>
      </c>
      <c r="AJ38" s="372">
        <v>0</v>
      </c>
    </row>
    <row r="39" spans="1:36" x14ac:dyDescent="0.35">
      <c r="A39" s="361"/>
      <c r="B39" s="380"/>
      <c r="C39" s="380"/>
      <c r="D39" s="380"/>
      <c r="E39" s="381"/>
      <c r="F39" s="380"/>
      <c r="G39" s="380"/>
      <c r="H39" s="380"/>
      <c r="I39" s="382"/>
      <c r="J39" s="365">
        <v>0</v>
      </c>
      <c r="K39" s="365">
        <v>0</v>
      </c>
      <c r="L39" s="365">
        <f t="shared" si="8"/>
        <v>0</v>
      </c>
      <c r="M39" s="365">
        <f t="shared" si="3"/>
        <v>0</v>
      </c>
      <c r="N39" s="365">
        <v>0</v>
      </c>
      <c r="O39" s="365">
        <f t="shared" si="4"/>
        <v>0</v>
      </c>
      <c r="P39" s="365">
        <f t="shared" si="9"/>
        <v>0</v>
      </c>
      <c r="Q39" s="366">
        <f t="shared" si="6"/>
        <v>0</v>
      </c>
      <c r="R39" s="367"/>
      <c r="S39" s="367"/>
      <c r="T39" s="367"/>
      <c r="U39" s="380"/>
      <c r="V39" s="379"/>
      <c r="W39" s="370"/>
      <c r="X39" s="370"/>
      <c r="Y39" s="370"/>
      <c r="Z39" s="370"/>
      <c r="AA39" s="370"/>
      <c r="AB39" s="370"/>
      <c r="AC39" s="370"/>
      <c r="AD39" s="370"/>
      <c r="AE39" s="370"/>
      <c r="AF39" s="370"/>
      <c r="AG39" s="370"/>
      <c r="AH39" s="370"/>
      <c r="AI39" s="371">
        <f t="shared" si="7"/>
        <v>0</v>
      </c>
      <c r="AJ39" s="372">
        <v>0</v>
      </c>
    </row>
    <row r="40" spans="1:36" x14ac:dyDescent="0.35">
      <c r="A40" s="361"/>
      <c r="B40" s="380"/>
      <c r="C40" s="380"/>
      <c r="D40" s="380"/>
      <c r="E40" s="381"/>
      <c r="F40" s="380"/>
      <c r="G40" s="380"/>
      <c r="H40" s="380"/>
      <c r="I40" s="382"/>
      <c r="J40" s="365">
        <v>0</v>
      </c>
      <c r="K40" s="365">
        <v>0</v>
      </c>
      <c r="L40" s="365">
        <f t="shared" si="8"/>
        <v>0</v>
      </c>
      <c r="M40" s="365">
        <f t="shared" si="3"/>
        <v>0</v>
      </c>
      <c r="N40" s="365">
        <v>0</v>
      </c>
      <c r="O40" s="365">
        <f t="shared" si="4"/>
        <v>0</v>
      </c>
      <c r="P40" s="365">
        <f t="shared" si="9"/>
        <v>0</v>
      </c>
      <c r="Q40" s="366">
        <f t="shared" si="6"/>
        <v>0</v>
      </c>
      <c r="R40" s="367"/>
      <c r="S40" s="367"/>
      <c r="T40" s="367"/>
      <c r="U40" s="380"/>
      <c r="V40" s="379"/>
      <c r="W40" s="370"/>
      <c r="X40" s="370"/>
      <c r="Y40" s="370"/>
      <c r="Z40" s="370"/>
      <c r="AA40" s="370"/>
      <c r="AB40" s="370"/>
      <c r="AC40" s="370"/>
      <c r="AD40" s="370"/>
      <c r="AE40" s="370"/>
      <c r="AF40" s="370"/>
      <c r="AG40" s="370"/>
      <c r="AH40" s="370"/>
      <c r="AI40" s="371">
        <f t="shared" si="7"/>
        <v>0</v>
      </c>
      <c r="AJ40" s="372">
        <v>0</v>
      </c>
    </row>
    <row r="41" spans="1:36" x14ac:dyDescent="0.35">
      <c r="A41" s="361"/>
      <c r="B41" s="362"/>
      <c r="C41" s="362"/>
      <c r="D41" s="362"/>
      <c r="E41" s="376"/>
      <c r="F41" s="362"/>
      <c r="G41" s="362"/>
      <c r="H41" s="362"/>
      <c r="I41" s="377"/>
      <c r="J41" s="365">
        <v>0</v>
      </c>
      <c r="K41" s="365">
        <v>0</v>
      </c>
      <c r="L41" s="365">
        <f t="shared" si="8"/>
        <v>0</v>
      </c>
      <c r="M41" s="365">
        <f t="shared" si="3"/>
        <v>0</v>
      </c>
      <c r="N41" s="365">
        <v>0</v>
      </c>
      <c r="O41" s="365">
        <f t="shared" si="4"/>
        <v>0</v>
      </c>
      <c r="P41" s="365">
        <f t="shared" si="9"/>
        <v>0</v>
      </c>
      <c r="Q41" s="366">
        <f t="shared" si="6"/>
        <v>0</v>
      </c>
      <c r="R41" s="367"/>
      <c r="S41" s="367"/>
      <c r="T41" s="367"/>
      <c r="U41" s="380"/>
      <c r="V41" s="379"/>
      <c r="W41" s="370"/>
      <c r="X41" s="370"/>
      <c r="Y41" s="370"/>
      <c r="Z41" s="370"/>
      <c r="AA41" s="370"/>
      <c r="AB41" s="370"/>
      <c r="AC41" s="370"/>
      <c r="AD41" s="370"/>
      <c r="AE41" s="370"/>
      <c r="AF41" s="370"/>
      <c r="AG41" s="370"/>
      <c r="AH41" s="370"/>
      <c r="AI41" s="371">
        <f t="shared" si="7"/>
        <v>0</v>
      </c>
      <c r="AJ41" s="372">
        <v>0</v>
      </c>
    </row>
    <row r="42" spans="1:36" x14ac:dyDescent="0.35">
      <c r="A42" s="361"/>
      <c r="B42" s="362"/>
      <c r="C42" s="362"/>
      <c r="D42" s="362"/>
      <c r="E42" s="376"/>
      <c r="F42" s="362"/>
      <c r="G42" s="362"/>
      <c r="H42" s="362"/>
      <c r="I42" s="377"/>
      <c r="J42" s="365">
        <v>0</v>
      </c>
      <c r="K42" s="365">
        <v>0</v>
      </c>
      <c r="L42" s="365">
        <f t="shared" si="8"/>
        <v>0</v>
      </c>
      <c r="M42" s="365">
        <f t="shared" si="3"/>
        <v>0</v>
      </c>
      <c r="N42" s="365">
        <v>0</v>
      </c>
      <c r="O42" s="365">
        <f t="shared" si="4"/>
        <v>0</v>
      </c>
      <c r="P42" s="365">
        <f t="shared" si="9"/>
        <v>0</v>
      </c>
      <c r="Q42" s="366">
        <f t="shared" si="6"/>
        <v>0</v>
      </c>
      <c r="R42" s="367"/>
      <c r="S42" s="367"/>
      <c r="T42" s="367"/>
      <c r="U42" s="380"/>
      <c r="V42" s="379"/>
      <c r="W42" s="370"/>
      <c r="X42" s="370"/>
      <c r="Y42" s="370"/>
      <c r="Z42" s="370"/>
      <c r="AA42" s="370"/>
      <c r="AB42" s="370"/>
      <c r="AC42" s="370"/>
      <c r="AD42" s="370"/>
      <c r="AE42" s="370"/>
      <c r="AF42" s="370"/>
      <c r="AG42" s="370"/>
      <c r="AH42" s="370"/>
      <c r="AI42" s="371">
        <f t="shared" si="7"/>
        <v>0</v>
      </c>
      <c r="AJ42" s="372">
        <f t="shared" ref="AJ42:AJ44" si="10">Q42-AI42</f>
        <v>0</v>
      </c>
    </row>
    <row r="43" spans="1:36" x14ac:dyDescent="0.35">
      <c r="A43" s="361"/>
      <c r="B43" s="380"/>
      <c r="C43" s="380"/>
      <c r="D43" s="380"/>
      <c r="E43" s="381"/>
      <c r="F43" s="380"/>
      <c r="G43" s="380"/>
      <c r="H43" s="380"/>
      <c r="I43" s="382"/>
      <c r="J43" s="365">
        <v>0</v>
      </c>
      <c r="K43" s="365">
        <v>0</v>
      </c>
      <c r="L43" s="365">
        <f t="shared" si="8"/>
        <v>0</v>
      </c>
      <c r="M43" s="365">
        <f t="shared" si="3"/>
        <v>0</v>
      </c>
      <c r="N43" s="365">
        <v>0</v>
      </c>
      <c r="O43" s="365">
        <f t="shared" si="4"/>
        <v>0</v>
      </c>
      <c r="P43" s="365">
        <f t="shared" si="9"/>
        <v>0</v>
      </c>
      <c r="Q43" s="366">
        <f t="shared" si="6"/>
        <v>0</v>
      </c>
      <c r="R43" s="367"/>
      <c r="S43" s="367"/>
      <c r="T43" s="367"/>
      <c r="U43" s="380"/>
      <c r="V43" s="379"/>
      <c r="W43" s="370"/>
      <c r="X43" s="370"/>
      <c r="Y43" s="370"/>
      <c r="Z43" s="370"/>
      <c r="AA43" s="370"/>
      <c r="AB43" s="370"/>
      <c r="AC43" s="370"/>
      <c r="AD43" s="370"/>
      <c r="AE43" s="370"/>
      <c r="AF43" s="370"/>
      <c r="AG43" s="370"/>
      <c r="AH43" s="370"/>
      <c r="AI43" s="371">
        <f t="shared" si="7"/>
        <v>0</v>
      </c>
      <c r="AJ43" s="372">
        <f t="shared" si="10"/>
        <v>0</v>
      </c>
    </row>
    <row r="44" spans="1:36" x14ac:dyDescent="0.35">
      <c r="A44" s="361"/>
      <c r="B44" s="380"/>
      <c r="C44" s="380"/>
      <c r="D44" s="380"/>
      <c r="E44" s="381"/>
      <c r="F44" s="380"/>
      <c r="G44" s="380"/>
      <c r="H44" s="380"/>
      <c r="I44" s="382"/>
      <c r="J44" s="365">
        <v>0</v>
      </c>
      <c r="K44" s="365">
        <v>0</v>
      </c>
      <c r="L44" s="365">
        <f t="shared" si="8"/>
        <v>0</v>
      </c>
      <c r="M44" s="365">
        <f t="shared" si="3"/>
        <v>0</v>
      </c>
      <c r="N44" s="365">
        <v>0</v>
      </c>
      <c r="O44" s="365">
        <f t="shared" si="4"/>
        <v>0</v>
      </c>
      <c r="P44" s="365">
        <f t="shared" si="9"/>
        <v>0</v>
      </c>
      <c r="Q44" s="366">
        <f t="shared" si="6"/>
        <v>0</v>
      </c>
      <c r="R44" s="367"/>
      <c r="S44" s="367"/>
      <c r="T44" s="367"/>
      <c r="U44" s="380"/>
      <c r="V44" s="379"/>
      <c r="W44" s="370"/>
      <c r="X44" s="370"/>
      <c r="Y44" s="370"/>
      <c r="Z44" s="370"/>
      <c r="AA44" s="370"/>
      <c r="AB44" s="370"/>
      <c r="AC44" s="370"/>
      <c r="AD44" s="370"/>
      <c r="AE44" s="370"/>
      <c r="AF44" s="370"/>
      <c r="AG44" s="370"/>
      <c r="AH44" s="370"/>
      <c r="AI44" s="371">
        <f t="shared" si="7"/>
        <v>0</v>
      </c>
      <c r="AJ44" s="372">
        <f t="shared" si="10"/>
        <v>0</v>
      </c>
    </row>
    <row r="45" spans="1:36" x14ac:dyDescent="0.35">
      <c r="A45" s="295" t="s">
        <v>1398</v>
      </c>
      <c r="B45" s="321"/>
      <c r="C45" s="322"/>
      <c r="D45" s="322"/>
      <c r="E45" s="323"/>
      <c r="F45" s="321"/>
      <c r="G45" s="322"/>
      <c r="H45" s="322"/>
      <c r="I45" s="324"/>
      <c r="J45" s="325"/>
      <c r="K45" s="325"/>
      <c r="L45" s="325"/>
      <c r="M45" s="325"/>
      <c r="N45" s="325"/>
      <c r="O45" s="325"/>
      <c r="P45" s="325"/>
      <c r="Q45" s="317"/>
      <c r="R45" s="317"/>
      <c r="S45" s="317"/>
      <c r="T45" s="317"/>
      <c r="U45" s="297"/>
      <c r="V45" s="319"/>
      <c r="W45" s="320"/>
      <c r="X45" s="309"/>
      <c r="Y45" s="309"/>
      <c r="Z45" s="309"/>
      <c r="AA45" s="309"/>
      <c r="AB45" s="309"/>
      <c r="AC45" s="309"/>
      <c r="AD45" s="309"/>
      <c r="AE45" s="309"/>
      <c r="AF45" s="309"/>
      <c r="AG45" s="309"/>
      <c r="AH45" s="309"/>
      <c r="AI45" s="309"/>
      <c r="AJ45" s="310"/>
    </row>
    <row r="46" spans="1:36" x14ac:dyDescent="0.35">
      <c r="A46" s="361"/>
      <c r="B46" s="380"/>
      <c r="C46" s="380"/>
      <c r="D46" s="380"/>
      <c r="E46" s="381"/>
      <c r="F46" s="380"/>
      <c r="G46" s="380"/>
      <c r="H46" s="380"/>
      <c r="I46" s="382"/>
      <c r="J46" s="365">
        <v>0</v>
      </c>
      <c r="K46" s="365">
        <v>0</v>
      </c>
      <c r="L46" s="365">
        <f t="shared" ref="L46:L48" si="11">J46+K46</f>
        <v>0</v>
      </c>
      <c r="M46" s="365">
        <f t="shared" si="3"/>
        <v>0</v>
      </c>
      <c r="N46" s="365">
        <v>0</v>
      </c>
      <c r="O46" s="365">
        <f t="shared" si="4"/>
        <v>0</v>
      </c>
      <c r="P46" s="365">
        <f t="shared" ref="P46:P48" si="12">L46-O46</f>
        <v>0</v>
      </c>
      <c r="Q46" s="366">
        <f t="shared" si="6"/>
        <v>0</v>
      </c>
      <c r="R46" s="367"/>
      <c r="S46" s="367"/>
      <c r="T46" s="367"/>
      <c r="U46" s="383"/>
      <c r="V46" s="369"/>
      <c r="W46" s="370"/>
      <c r="X46" s="370"/>
      <c r="Y46" s="370"/>
      <c r="Z46" s="370"/>
      <c r="AA46" s="370"/>
      <c r="AB46" s="370"/>
      <c r="AC46" s="370"/>
      <c r="AD46" s="370"/>
      <c r="AE46" s="370"/>
      <c r="AF46" s="370"/>
      <c r="AG46" s="370"/>
      <c r="AH46" s="370"/>
      <c r="AI46" s="371">
        <f t="shared" ref="AI46:AI48" si="13">SUM(W46:AH46)</f>
        <v>0</v>
      </c>
      <c r="AJ46" s="372">
        <f t="shared" ref="AJ46:AJ48" si="14">Q46-AI46</f>
        <v>0</v>
      </c>
    </row>
    <row r="47" spans="1:36" x14ac:dyDescent="0.35">
      <c r="A47" s="361"/>
      <c r="B47" s="380"/>
      <c r="C47" s="380"/>
      <c r="D47" s="380"/>
      <c r="E47" s="381"/>
      <c r="F47" s="380"/>
      <c r="G47" s="380"/>
      <c r="H47" s="380"/>
      <c r="I47" s="382"/>
      <c r="J47" s="365">
        <v>0</v>
      </c>
      <c r="K47" s="365">
        <v>0</v>
      </c>
      <c r="L47" s="365">
        <f t="shared" si="11"/>
        <v>0</v>
      </c>
      <c r="M47" s="365">
        <f t="shared" si="3"/>
        <v>0</v>
      </c>
      <c r="N47" s="365">
        <v>0</v>
      </c>
      <c r="O47" s="365">
        <f t="shared" si="4"/>
        <v>0</v>
      </c>
      <c r="P47" s="365">
        <f t="shared" si="12"/>
        <v>0</v>
      </c>
      <c r="Q47" s="366">
        <f t="shared" si="6"/>
        <v>0</v>
      </c>
      <c r="R47" s="367"/>
      <c r="S47" s="367"/>
      <c r="T47" s="367"/>
      <c r="U47" s="383"/>
      <c r="V47" s="369"/>
      <c r="W47" s="370"/>
      <c r="X47" s="370"/>
      <c r="Y47" s="370"/>
      <c r="Z47" s="370"/>
      <c r="AA47" s="370"/>
      <c r="AB47" s="370"/>
      <c r="AC47" s="370"/>
      <c r="AD47" s="370"/>
      <c r="AE47" s="370"/>
      <c r="AF47" s="370"/>
      <c r="AG47" s="370"/>
      <c r="AH47" s="370"/>
      <c r="AI47" s="371">
        <f t="shared" si="13"/>
        <v>0</v>
      </c>
      <c r="AJ47" s="372">
        <f t="shared" si="14"/>
        <v>0</v>
      </c>
    </row>
    <row r="48" spans="1:36" x14ac:dyDescent="0.35">
      <c r="A48" s="361"/>
      <c r="B48" s="384"/>
      <c r="C48" s="384"/>
      <c r="D48" s="384"/>
      <c r="E48" s="385"/>
      <c r="F48" s="384"/>
      <c r="G48" s="384"/>
      <c r="H48" s="384"/>
      <c r="I48" s="386"/>
      <c r="J48" s="365">
        <v>0</v>
      </c>
      <c r="K48" s="365">
        <v>0</v>
      </c>
      <c r="L48" s="365">
        <f t="shared" si="11"/>
        <v>0</v>
      </c>
      <c r="M48" s="365">
        <f t="shared" si="3"/>
        <v>0</v>
      </c>
      <c r="N48" s="365">
        <v>0</v>
      </c>
      <c r="O48" s="365">
        <f t="shared" si="4"/>
        <v>0</v>
      </c>
      <c r="P48" s="365">
        <f t="shared" si="12"/>
        <v>0</v>
      </c>
      <c r="Q48" s="366">
        <f t="shared" si="6"/>
        <v>0</v>
      </c>
      <c r="R48" s="367"/>
      <c r="S48" s="367"/>
      <c r="T48" s="367"/>
      <c r="U48" s="387"/>
      <c r="V48" s="369"/>
      <c r="W48" s="370"/>
      <c r="X48" s="370"/>
      <c r="Y48" s="370"/>
      <c r="Z48" s="370"/>
      <c r="AA48" s="370"/>
      <c r="AB48" s="370"/>
      <c r="AC48" s="370"/>
      <c r="AD48" s="370"/>
      <c r="AE48" s="370"/>
      <c r="AF48" s="370"/>
      <c r="AG48" s="370"/>
      <c r="AH48" s="370"/>
      <c r="AI48" s="371">
        <f t="shared" si="13"/>
        <v>0</v>
      </c>
      <c r="AJ48" s="372">
        <f t="shared" si="14"/>
        <v>0</v>
      </c>
    </row>
    <row r="49" spans="1:36" x14ac:dyDescent="0.35">
      <c r="A49" s="302" t="s">
        <v>1399</v>
      </c>
      <c r="B49" s="326"/>
      <c r="C49" s="327"/>
      <c r="D49" s="327"/>
      <c r="E49" s="328"/>
      <c r="F49" s="326"/>
      <c r="G49" s="327"/>
      <c r="H49" s="327"/>
      <c r="I49" s="329"/>
      <c r="J49" s="330"/>
      <c r="K49" s="330"/>
      <c r="L49" s="330"/>
      <c r="M49" s="330"/>
      <c r="N49" s="330"/>
      <c r="O49" s="330"/>
      <c r="P49" s="330"/>
      <c r="Q49" s="317"/>
      <c r="R49" s="317"/>
      <c r="S49" s="317"/>
      <c r="T49" s="317"/>
      <c r="U49" s="331"/>
      <c r="V49" s="319"/>
      <c r="W49" s="320"/>
      <c r="X49" s="309"/>
      <c r="Y49" s="309"/>
      <c r="Z49" s="309"/>
      <c r="AA49" s="309"/>
      <c r="AB49" s="309"/>
      <c r="AC49" s="309"/>
      <c r="AD49" s="309"/>
      <c r="AE49" s="309"/>
      <c r="AF49" s="309"/>
      <c r="AG49" s="309"/>
      <c r="AH49" s="309"/>
      <c r="AI49" s="309"/>
      <c r="AJ49" s="310"/>
    </row>
    <row r="50" spans="1:36" x14ac:dyDescent="0.35">
      <c r="A50" s="388"/>
      <c r="B50" s="384"/>
      <c r="C50" s="389"/>
      <c r="D50" s="389"/>
      <c r="E50" s="385"/>
      <c r="F50" s="384"/>
      <c r="G50" s="389"/>
      <c r="H50" s="389"/>
      <c r="I50" s="386"/>
      <c r="J50" s="365">
        <v>0</v>
      </c>
      <c r="K50" s="365">
        <v>0</v>
      </c>
      <c r="L50" s="365">
        <v>0</v>
      </c>
      <c r="M50" s="365">
        <f t="shared" si="3"/>
        <v>0</v>
      </c>
      <c r="N50" s="365">
        <v>0</v>
      </c>
      <c r="O50" s="365">
        <f t="shared" ref="O50:O57" si="15">M50+N50</f>
        <v>0</v>
      </c>
      <c r="P50" s="365">
        <v>0</v>
      </c>
      <c r="Q50" s="366">
        <f t="shared" ref="Q50:Q57" si="16">J50</f>
        <v>0</v>
      </c>
      <c r="R50" s="367"/>
      <c r="S50" s="367"/>
      <c r="T50" s="367"/>
      <c r="U50" s="390"/>
      <c r="V50" s="369"/>
      <c r="W50" s="370"/>
      <c r="X50" s="370"/>
      <c r="Y50" s="370"/>
      <c r="Z50" s="370"/>
      <c r="AA50" s="370"/>
      <c r="AB50" s="370"/>
      <c r="AC50" s="370"/>
      <c r="AD50" s="370"/>
      <c r="AE50" s="370"/>
      <c r="AF50" s="370"/>
      <c r="AG50" s="370"/>
      <c r="AH50" s="370"/>
      <c r="AI50" s="371">
        <f t="shared" ref="AI50:AI61" si="17">SUM(W50:AH50)</f>
        <v>0</v>
      </c>
      <c r="AJ50" s="372">
        <f t="shared" ref="AJ50:AJ61" si="18">Q50-AI50</f>
        <v>0</v>
      </c>
    </row>
    <row r="51" spans="1:36" x14ac:dyDescent="0.35">
      <c r="A51" s="388"/>
      <c r="B51" s="384"/>
      <c r="C51" s="389"/>
      <c r="D51" s="389"/>
      <c r="E51" s="385"/>
      <c r="F51" s="384"/>
      <c r="G51" s="389"/>
      <c r="H51" s="389"/>
      <c r="I51" s="386"/>
      <c r="J51" s="365">
        <v>0</v>
      </c>
      <c r="K51" s="365">
        <v>0</v>
      </c>
      <c r="L51" s="365">
        <v>0</v>
      </c>
      <c r="M51" s="365">
        <f t="shared" si="3"/>
        <v>0</v>
      </c>
      <c r="N51" s="365">
        <v>0</v>
      </c>
      <c r="O51" s="365">
        <f t="shared" si="15"/>
        <v>0</v>
      </c>
      <c r="P51" s="365">
        <v>0</v>
      </c>
      <c r="Q51" s="366">
        <f t="shared" si="16"/>
        <v>0</v>
      </c>
      <c r="R51" s="367"/>
      <c r="S51" s="367"/>
      <c r="T51" s="367"/>
      <c r="U51" s="390"/>
      <c r="V51" s="369"/>
      <c r="W51" s="370"/>
      <c r="X51" s="370"/>
      <c r="Y51" s="370"/>
      <c r="Z51" s="370"/>
      <c r="AA51" s="370"/>
      <c r="AB51" s="370"/>
      <c r="AC51" s="370"/>
      <c r="AD51" s="370"/>
      <c r="AE51" s="370"/>
      <c r="AF51" s="370"/>
      <c r="AG51" s="370"/>
      <c r="AH51" s="370"/>
      <c r="AI51" s="371">
        <f t="shared" si="17"/>
        <v>0</v>
      </c>
      <c r="AJ51" s="372">
        <f t="shared" si="18"/>
        <v>0</v>
      </c>
    </row>
    <row r="52" spans="1:36" x14ac:dyDescent="0.35">
      <c r="A52" s="388"/>
      <c r="B52" s="384"/>
      <c r="C52" s="389"/>
      <c r="D52" s="389"/>
      <c r="E52" s="385"/>
      <c r="F52" s="384"/>
      <c r="G52" s="389"/>
      <c r="H52" s="389"/>
      <c r="I52" s="386"/>
      <c r="J52" s="365">
        <v>0</v>
      </c>
      <c r="K52" s="365">
        <v>0</v>
      </c>
      <c r="L52" s="365">
        <v>0</v>
      </c>
      <c r="M52" s="365">
        <f t="shared" si="3"/>
        <v>0</v>
      </c>
      <c r="N52" s="365">
        <v>0</v>
      </c>
      <c r="O52" s="365">
        <f t="shared" si="15"/>
        <v>0</v>
      </c>
      <c r="P52" s="365">
        <v>0</v>
      </c>
      <c r="Q52" s="366">
        <f t="shared" si="16"/>
        <v>0</v>
      </c>
      <c r="R52" s="367"/>
      <c r="S52" s="367"/>
      <c r="T52" s="367"/>
      <c r="U52" s="390"/>
      <c r="V52" s="369"/>
      <c r="W52" s="370"/>
      <c r="X52" s="370"/>
      <c r="Y52" s="370"/>
      <c r="Z52" s="370"/>
      <c r="AA52" s="370"/>
      <c r="AB52" s="370"/>
      <c r="AC52" s="370"/>
      <c r="AD52" s="370"/>
      <c r="AE52" s="370"/>
      <c r="AF52" s="370"/>
      <c r="AG52" s="370"/>
      <c r="AH52" s="370"/>
      <c r="AI52" s="371">
        <f t="shared" si="17"/>
        <v>0</v>
      </c>
      <c r="AJ52" s="372">
        <f t="shared" si="18"/>
        <v>0</v>
      </c>
    </row>
    <row r="53" spans="1:36" x14ac:dyDescent="0.35">
      <c r="A53" s="388"/>
      <c r="B53" s="384"/>
      <c r="C53" s="389"/>
      <c r="D53" s="389"/>
      <c r="E53" s="385"/>
      <c r="F53" s="384"/>
      <c r="G53" s="389"/>
      <c r="H53" s="389"/>
      <c r="I53" s="386"/>
      <c r="J53" s="365">
        <v>0</v>
      </c>
      <c r="K53" s="365">
        <v>0</v>
      </c>
      <c r="L53" s="365">
        <v>0</v>
      </c>
      <c r="M53" s="365">
        <f t="shared" si="3"/>
        <v>0</v>
      </c>
      <c r="N53" s="365">
        <v>0</v>
      </c>
      <c r="O53" s="365">
        <f t="shared" si="15"/>
        <v>0</v>
      </c>
      <c r="P53" s="365">
        <v>0</v>
      </c>
      <c r="Q53" s="366">
        <f t="shared" si="16"/>
        <v>0</v>
      </c>
      <c r="R53" s="367"/>
      <c r="S53" s="367"/>
      <c r="T53" s="367"/>
      <c r="U53" s="390"/>
      <c r="V53" s="369"/>
      <c r="W53" s="370"/>
      <c r="X53" s="370"/>
      <c r="Y53" s="370"/>
      <c r="Z53" s="370"/>
      <c r="AA53" s="370"/>
      <c r="AB53" s="370"/>
      <c r="AC53" s="370"/>
      <c r="AD53" s="370"/>
      <c r="AE53" s="370"/>
      <c r="AF53" s="370"/>
      <c r="AG53" s="370"/>
      <c r="AH53" s="370"/>
      <c r="AI53" s="371">
        <f t="shared" si="17"/>
        <v>0</v>
      </c>
      <c r="AJ53" s="372">
        <f t="shared" si="18"/>
        <v>0</v>
      </c>
    </row>
    <row r="54" spans="1:36" x14ac:dyDescent="0.35">
      <c r="A54" s="388"/>
      <c r="B54" s="384"/>
      <c r="C54" s="389"/>
      <c r="D54" s="389"/>
      <c r="E54" s="385"/>
      <c r="F54" s="384"/>
      <c r="G54" s="389"/>
      <c r="H54" s="389"/>
      <c r="I54" s="386"/>
      <c r="J54" s="365">
        <v>0</v>
      </c>
      <c r="K54" s="365">
        <v>0</v>
      </c>
      <c r="L54" s="365">
        <v>0</v>
      </c>
      <c r="M54" s="365">
        <f t="shared" si="3"/>
        <v>0</v>
      </c>
      <c r="N54" s="365">
        <v>0</v>
      </c>
      <c r="O54" s="365">
        <f t="shared" si="15"/>
        <v>0</v>
      </c>
      <c r="P54" s="365">
        <v>0</v>
      </c>
      <c r="Q54" s="366">
        <f t="shared" si="16"/>
        <v>0</v>
      </c>
      <c r="R54" s="367"/>
      <c r="S54" s="367"/>
      <c r="T54" s="367"/>
      <c r="U54" s="390"/>
      <c r="V54" s="369"/>
      <c r="W54" s="370"/>
      <c r="X54" s="370"/>
      <c r="Y54" s="370"/>
      <c r="Z54" s="370"/>
      <c r="AA54" s="370"/>
      <c r="AB54" s="370"/>
      <c r="AC54" s="370"/>
      <c r="AD54" s="370"/>
      <c r="AE54" s="370"/>
      <c r="AF54" s="370"/>
      <c r="AG54" s="370"/>
      <c r="AH54" s="370"/>
      <c r="AI54" s="371">
        <f t="shared" si="17"/>
        <v>0</v>
      </c>
      <c r="AJ54" s="372">
        <f t="shared" si="18"/>
        <v>0</v>
      </c>
    </row>
    <row r="55" spans="1:36" x14ac:dyDescent="0.35">
      <c r="A55" s="388"/>
      <c r="B55" s="384"/>
      <c r="C55" s="389"/>
      <c r="D55" s="389"/>
      <c r="E55" s="385"/>
      <c r="F55" s="384"/>
      <c r="G55" s="389"/>
      <c r="H55" s="389"/>
      <c r="I55" s="386"/>
      <c r="J55" s="365">
        <v>0</v>
      </c>
      <c r="K55" s="365">
        <v>0</v>
      </c>
      <c r="L55" s="365">
        <v>0</v>
      </c>
      <c r="M55" s="365">
        <f t="shared" si="3"/>
        <v>0</v>
      </c>
      <c r="N55" s="365">
        <v>0</v>
      </c>
      <c r="O55" s="365">
        <f t="shared" si="15"/>
        <v>0</v>
      </c>
      <c r="P55" s="365">
        <v>0</v>
      </c>
      <c r="Q55" s="366">
        <f t="shared" si="16"/>
        <v>0</v>
      </c>
      <c r="R55" s="367"/>
      <c r="S55" s="367"/>
      <c r="T55" s="367"/>
      <c r="U55" s="390"/>
      <c r="V55" s="369"/>
      <c r="W55" s="370"/>
      <c r="X55" s="370"/>
      <c r="Y55" s="370"/>
      <c r="Z55" s="370"/>
      <c r="AA55" s="370"/>
      <c r="AB55" s="370"/>
      <c r="AC55" s="370"/>
      <c r="AD55" s="370"/>
      <c r="AE55" s="370"/>
      <c r="AF55" s="370"/>
      <c r="AG55" s="370"/>
      <c r="AH55" s="370"/>
      <c r="AI55" s="371">
        <f t="shared" si="17"/>
        <v>0</v>
      </c>
      <c r="AJ55" s="372">
        <f t="shared" si="18"/>
        <v>0</v>
      </c>
    </row>
    <row r="56" spans="1:36" x14ac:dyDescent="0.35">
      <c r="A56" s="388"/>
      <c r="B56" s="384"/>
      <c r="C56" s="389"/>
      <c r="D56" s="389"/>
      <c r="E56" s="385"/>
      <c r="F56" s="384"/>
      <c r="G56" s="389"/>
      <c r="H56" s="389"/>
      <c r="I56" s="386"/>
      <c r="J56" s="365">
        <v>0</v>
      </c>
      <c r="K56" s="365">
        <v>0</v>
      </c>
      <c r="L56" s="365">
        <v>0</v>
      </c>
      <c r="M56" s="365">
        <f t="shared" si="3"/>
        <v>0</v>
      </c>
      <c r="N56" s="365">
        <v>0</v>
      </c>
      <c r="O56" s="365">
        <f t="shared" si="15"/>
        <v>0</v>
      </c>
      <c r="P56" s="365">
        <v>0</v>
      </c>
      <c r="Q56" s="366">
        <f t="shared" si="16"/>
        <v>0</v>
      </c>
      <c r="R56" s="367"/>
      <c r="S56" s="367"/>
      <c r="T56" s="367"/>
      <c r="U56" s="390"/>
      <c r="V56" s="369"/>
      <c r="W56" s="370"/>
      <c r="X56" s="370"/>
      <c r="Y56" s="370"/>
      <c r="Z56" s="370"/>
      <c r="AA56" s="370"/>
      <c r="AB56" s="370"/>
      <c r="AC56" s="370"/>
      <c r="AD56" s="370"/>
      <c r="AE56" s="370"/>
      <c r="AF56" s="370"/>
      <c r="AG56" s="370"/>
      <c r="AH56" s="370"/>
      <c r="AI56" s="371">
        <f t="shared" si="17"/>
        <v>0</v>
      </c>
      <c r="AJ56" s="372">
        <f t="shared" si="18"/>
        <v>0</v>
      </c>
    </row>
    <row r="57" spans="1:36" x14ac:dyDescent="0.35">
      <c r="A57" s="388"/>
      <c r="B57" s="384"/>
      <c r="C57" s="389"/>
      <c r="D57" s="389"/>
      <c r="E57" s="385"/>
      <c r="F57" s="384"/>
      <c r="G57" s="389"/>
      <c r="H57" s="389"/>
      <c r="I57" s="386"/>
      <c r="J57" s="365">
        <v>0</v>
      </c>
      <c r="K57" s="365">
        <v>0</v>
      </c>
      <c r="L57" s="365">
        <v>0</v>
      </c>
      <c r="M57" s="365">
        <f t="shared" si="3"/>
        <v>0</v>
      </c>
      <c r="N57" s="365">
        <v>0</v>
      </c>
      <c r="O57" s="365">
        <f t="shared" si="15"/>
        <v>0</v>
      </c>
      <c r="P57" s="365">
        <v>0</v>
      </c>
      <c r="Q57" s="366">
        <f t="shared" si="16"/>
        <v>0</v>
      </c>
      <c r="R57" s="367"/>
      <c r="S57" s="367"/>
      <c r="T57" s="367"/>
      <c r="U57" s="390"/>
      <c r="V57" s="369"/>
      <c r="W57" s="370"/>
      <c r="X57" s="370"/>
      <c r="Y57" s="370"/>
      <c r="Z57" s="370"/>
      <c r="AA57" s="370"/>
      <c r="AB57" s="370"/>
      <c r="AC57" s="370"/>
      <c r="AD57" s="370"/>
      <c r="AE57" s="370"/>
      <c r="AF57" s="370"/>
      <c r="AG57" s="370"/>
      <c r="AH57" s="370"/>
      <c r="AI57" s="371">
        <f t="shared" si="17"/>
        <v>0</v>
      </c>
      <c r="AJ57" s="372">
        <f t="shared" si="18"/>
        <v>0</v>
      </c>
    </row>
    <row r="58" spans="1:36" x14ac:dyDescent="0.35">
      <c r="A58" s="388"/>
      <c r="B58" s="384"/>
      <c r="C58" s="389"/>
      <c r="D58" s="389"/>
      <c r="E58" s="385"/>
      <c r="F58" s="384"/>
      <c r="G58" s="389"/>
      <c r="H58" s="389"/>
      <c r="I58" s="386"/>
      <c r="J58" s="365">
        <v>0</v>
      </c>
      <c r="K58" s="365">
        <v>0</v>
      </c>
      <c r="L58" s="365">
        <v>0</v>
      </c>
      <c r="M58" s="365">
        <f t="shared" si="3"/>
        <v>0</v>
      </c>
      <c r="N58" s="365">
        <v>0</v>
      </c>
      <c r="O58" s="365">
        <f t="shared" si="4"/>
        <v>0</v>
      </c>
      <c r="P58" s="365">
        <v>0</v>
      </c>
      <c r="Q58" s="366">
        <f t="shared" si="6"/>
        <v>0</v>
      </c>
      <c r="R58" s="367"/>
      <c r="S58" s="367"/>
      <c r="T58" s="367"/>
      <c r="U58" s="390"/>
      <c r="V58" s="369"/>
      <c r="W58" s="370"/>
      <c r="X58" s="370"/>
      <c r="Y58" s="370"/>
      <c r="Z58" s="370"/>
      <c r="AA58" s="370"/>
      <c r="AB58" s="370"/>
      <c r="AC58" s="370"/>
      <c r="AD58" s="370"/>
      <c r="AE58" s="370"/>
      <c r="AF58" s="370"/>
      <c r="AG58" s="370"/>
      <c r="AH58" s="370"/>
      <c r="AI58" s="371">
        <f t="shared" si="17"/>
        <v>0</v>
      </c>
      <c r="AJ58" s="372">
        <f t="shared" si="18"/>
        <v>0</v>
      </c>
    </row>
    <row r="59" spans="1:36" x14ac:dyDescent="0.35">
      <c r="A59" s="388"/>
      <c r="B59" s="384"/>
      <c r="C59" s="389"/>
      <c r="D59" s="389"/>
      <c r="E59" s="385"/>
      <c r="F59" s="384"/>
      <c r="G59" s="389"/>
      <c r="H59" s="389"/>
      <c r="I59" s="386"/>
      <c r="J59" s="365">
        <v>0</v>
      </c>
      <c r="K59" s="365">
        <v>0</v>
      </c>
      <c r="L59" s="365">
        <v>0</v>
      </c>
      <c r="M59" s="365">
        <f t="shared" si="3"/>
        <v>0</v>
      </c>
      <c r="N59" s="365">
        <v>0</v>
      </c>
      <c r="O59" s="365">
        <f t="shared" si="4"/>
        <v>0</v>
      </c>
      <c r="P59" s="365">
        <v>0</v>
      </c>
      <c r="Q59" s="366">
        <f t="shared" si="6"/>
        <v>0</v>
      </c>
      <c r="R59" s="367"/>
      <c r="S59" s="367"/>
      <c r="T59" s="367"/>
      <c r="U59" s="390"/>
      <c r="V59" s="369"/>
      <c r="W59" s="370"/>
      <c r="X59" s="370"/>
      <c r="Y59" s="370"/>
      <c r="Z59" s="370"/>
      <c r="AA59" s="370"/>
      <c r="AB59" s="370"/>
      <c r="AC59" s="370"/>
      <c r="AD59" s="370"/>
      <c r="AE59" s="370"/>
      <c r="AF59" s="370"/>
      <c r="AG59" s="370"/>
      <c r="AH59" s="370"/>
      <c r="AI59" s="371">
        <f t="shared" si="17"/>
        <v>0</v>
      </c>
      <c r="AJ59" s="372">
        <f t="shared" si="18"/>
        <v>0</v>
      </c>
    </row>
    <row r="60" spans="1:36" x14ac:dyDescent="0.35">
      <c r="A60" s="388"/>
      <c r="B60" s="384"/>
      <c r="C60" s="389"/>
      <c r="D60" s="389"/>
      <c r="E60" s="385"/>
      <c r="F60" s="384"/>
      <c r="G60" s="389"/>
      <c r="H60" s="389"/>
      <c r="I60" s="386"/>
      <c r="J60" s="365">
        <v>0</v>
      </c>
      <c r="K60" s="365">
        <v>0</v>
      </c>
      <c r="L60" s="365">
        <v>0</v>
      </c>
      <c r="M60" s="365">
        <f t="shared" si="3"/>
        <v>0</v>
      </c>
      <c r="N60" s="365">
        <v>0</v>
      </c>
      <c r="O60" s="365">
        <f t="shared" si="4"/>
        <v>0</v>
      </c>
      <c r="P60" s="365">
        <v>0</v>
      </c>
      <c r="Q60" s="366">
        <f t="shared" si="6"/>
        <v>0</v>
      </c>
      <c r="R60" s="367"/>
      <c r="S60" s="367"/>
      <c r="T60" s="367"/>
      <c r="U60" s="390"/>
      <c r="V60" s="369"/>
      <c r="W60" s="370"/>
      <c r="X60" s="370"/>
      <c r="Y60" s="370"/>
      <c r="Z60" s="370"/>
      <c r="AA60" s="370"/>
      <c r="AB60" s="370"/>
      <c r="AC60" s="370"/>
      <c r="AD60" s="370"/>
      <c r="AE60" s="370"/>
      <c r="AF60" s="370"/>
      <c r="AG60" s="370"/>
      <c r="AH60" s="370"/>
      <c r="AI60" s="371">
        <f t="shared" si="17"/>
        <v>0</v>
      </c>
      <c r="AJ60" s="372">
        <f t="shared" si="18"/>
        <v>0</v>
      </c>
    </row>
    <row r="61" spans="1:36" x14ac:dyDescent="0.35">
      <c r="A61" s="388"/>
      <c r="B61" s="384"/>
      <c r="C61" s="389"/>
      <c r="D61" s="363"/>
      <c r="E61" s="385"/>
      <c r="F61" s="384"/>
      <c r="G61" s="389"/>
      <c r="H61" s="363"/>
      <c r="I61" s="386"/>
      <c r="J61" s="365">
        <v>0</v>
      </c>
      <c r="K61" s="365">
        <v>0</v>
      </c>
      <c r="L61" s="365">
        <v>0</v>
      </c>
      <c r="M61" s="365">
        <f t="shared" si="3"/>
        <v>0</v>
      </c>
      <c r="N61" s="365">
        <v>0</v>
      </c>
      <c r="O61" s="365">
        <f t="shared" si="4"/>
        <v>0</v>
      </c>
      <c r="P61" s="365">
        <v>0</v>
      </c>
      <c r="Q61" s="366">
        <f t="shared" si="6"/>
        <v>0</v>
      </c>
      <c r="R61" s="367"/>
      <c r="S61" s="367"/>
      <c r="T61" s="367"/>
      <c r="U61" s="390"/>
      <c r="V61" s="369"/>
      <c r="W61" s="370"/>
      <c r="X61" s="370"/>
      <c r="Y61" s="370"/>
      <c r="Z61" s="370"/>
      <c r="AA61" s="370"/>
      <c r="AB61" s="370"/>
      <c r="AC61" s="370"/>
      <c r="AD61" s="370"/>
      <c r="AE61" s="370"/>
      <c r="AF61" s="370"/>
      <c r="AG61" s="370"/>
      <c r="AH61" s="370"/>
      <c r="AI61" s="371">
        <f t="shared" si="17"/>
        <v>0</v>
      </c>
      <c r="AJ61" s="372">
        <f t="shared" si="18"/>
        <v>0</v>
      </c>
    </row>
    <row r="62" spans="1:36" x14ac:dyDescent="0.35">
      <c r="A62" s="295" t="s">
        <v>1400</v>
      </c>
      <c r="B62" s="326"/>
      <c r="C62" s="327"/>
      <c r="D62" s="327"/>
      <c r="E62" s="328"/>
      <c r="F62" s="326"/>
      <c r="G62" s="327"/>
      <c r="H62" s="327"/>
      <c r="I62" s="329"/>
      <c r="J62" s="330"/>
      <c r="K62" s="330"/>
      <c r="L62" s="330"/>
      <c r="M62" s="330"/>
      <c r="N62" s="330"/>
      <c r="O62" s="330"/>
      <c r="P62" s="330"/>
      <c r="Q62" s="317"/>
      <c r="R62" s="317"/>
      <c r="S62" s="317"/>
      <c r="T62" s="317"/>
      <c r="U62" s="297"/>
      <c r="V62" s="319"/>
      <c r="W62" s="320"/>
      <c r="X62" s="309"/>
      <c r="Y62" s="309"/>
      <c r="Z62" s="309"/>
      <c r="AA62" s="309"/>
      <c r="AB62" s="309"/>
      <c r="AC62" s="309"/>
      <c r="AD62" s="309"/>
      <c r="AE62" s="309"/>
      <c r="AF62" s="309"/>
      <c r="AG62" s="309"/>
      <c r="AH62" s="309"/>
      <c r="AI62" s="309"/>
      <c r="AJ62" s="310"/>
    </row>
    <row r="63" spans="1:36" x14ac:dyDescent="0.35">
      <c r="A63" s="361"/>
      <c r="B63" s="384"/>
      <c r="C63" s="384"/>
      <c r="D63" s="384"/>
      <c r="E63" s="385"/>
      <c r="F63" s="384"/>
      <c r="G63" s="384"/>
      <c r="H63" s="384"/>
      <c r="I63" s="386"/>
      <c r="J63" s="365">
        <v>0</v>
      </c>
      <c r="K63" s="365">
        <v>0</v>
      </c>
      <c r="L63" s="365">
        <f t="shared" ref="L63:L65" si="19">J63+K63</f>
        <v>0</v>
      </c>
      <c r="M63" s="365">
        <f t="shared" si="3"/>
        <v>0</v>
      </c>
      <c r="N63" s="365">
        <v>0</v>
      </c>
      <c r="O63" s="365">
        <f t="shared" si="4"/>
        <v>0</v>
      </c>
      <c r="P63" s="365">
        <f t="shared" ref="P63:P65" si="20">L63-O63</f>
        <v>0</v>
      </c>
      <c r="Q63" s="366">
        <f t="shared" si="6"/>
        <v>0</v>
      </c>
      <c r="R63" s="367"/>
      <c r="S63" s="367"/>
      <c r="T63" s="367"/>
      <c r="U63" s="383"/>
      <c r="V63" s="369"/>
      <c r="W63" s="370"/>
      <c r="X63" s="370"/>
      <c r="Y63" s="370"/>
      <c r="Z63" s="370"/>
      <c r="AA63" s="370"/>
      <c r="AB63" s="370"/>
      <c r="AC63" s="370"/>
      <c r="AD63" s="370"/>
      <c r="AE63" s="370"/>
      <c r="AF63" s="370"/>
      <c r="AG63" s="370"/>
      <c r="AH63" s="370"/>
      <c r="AI63" s="371">
        <f t="shared" ref="AI63:AI65" si="21">SUM(W63:AH63)</f>
        <v>0</v>
      </c>
      <c r="AJ63" s="372">
        <f t="shared" ref="AJ63:AJ65" si="22">Q63-AI63</f>
        <v>0</v>
      </c>
    </row>
    <row r="64" spans="1:36" x14ac:dyDescent="0.35">
      <c r="A64" s="361"/>
      <c r="B64" s="384"/>
      <c r="C64" s="384"/>
      <c r="D64" s="384"/>
      <c r="E64" s="385"/>
      <c r="F64" s="384"/>
      <c r="G64" s="384"/>
      <c r="H64" s="384"/>
      <c r="I64" s="386"/>
      <c r="J64" s="365">
        <v>0</v>
      </c>
      <c r="K64" s="365">
        <v>0</v>
      </c>
      <c r="L64" s="365">
        <f t="shared" si="19"/>
        <v>0</v>
      </c>
      <c r="M64" s="365">
        <f t="shared" si="3"/>
        <v>0</v>
      </c>
      <c r="N64" s="365">
        <v>0</v>
      </c>
      <c r="O64" s="365">
        <f t="shared" si="4"/>
        <v>0</v>
      </c>
      <c r="P64" s="365">
        <f t="shared" si="20"/>
        <v>0</v>
      </c>
      <c r="Q64" s="366">
        <f t="shared" si="6"/>
        <v>0</v>
      </c>
      <c r="R64" s="367"/>
      <c r="S64" s="367"/>
      <c r="T64" s="367"/>
      <c r="U64" s="383"/>
      <c r="V64" s="369"/>
      <c r="W64" s="370"/>
      <c r="X64" s="370"/>
      <c r="Y64" s="370"/>
      <c r="Z64" s="370"/>
      <c r="AA64" s="370"/>
      <c r="AB64" s="370"/>
      <c r="AC64" s="370"/>
      <c r="AD64" s="370"/>
      <c r="AE64" s="370"/>
      <c r="AF64" s="370"/>
      <c r="AG64" s="370"/>
      <c r="AH64" s="370"/>
      <c r="AI64" s="371">
        <f t="shared" si="21"/>
        <v>0</v>
      </c>
      <c r="AJ64" s="372">
        <f t="shared" si="22"/>
        <v>0</v>
      </c>
    </row>
    <row r="65" spans="1:36" x14ac:dyDescent="0.35">
      <c r="A65" s="361"/>
      <c r="B65" s="384"/>
      <c r="C65" s="384"/>
      <c r="D65" s="384"/>
      <c r="E65" s="385"/>
      <c r="F65" s="384"/>
      <c r="G65" s="384"/>
      <c r="H65" s="384"/>
      <c r="I65" s="386"/>
      <c r="J65" s="365">
        <v>0</v>
      </c>
      <c r="K65" s="365">
        <v>0</v>
      </c>
      <c r="L65" s="365">
        <f t="shared" si="19"/>
        <v>0</v>
      </c>
      <c r="M65" s="365">
        <f t="shared" si="3"/>
        <v>0</v>
      </c>
      <c r="N65" s="365">
        <v>0</v>
      </c>
      <c r="O65" s="365">
        <f t="shared" si="4"/>
        <v>0</v>
      </c>
      <c r="P65" s="365">
        <f t="shared" si="20"/>
        <v>0</v>
      </c>
      <c r="Q65" s="366">
        <f t="shared" si="6"/>
        <v>0</v>
      </c>
      <c r="R65" s="367"/>
      <c r="S65" s="367"/>
      <c r="T65" s="367"/>
      <c r="U65" s="383"/>
      <c r="V65" s="369"/>
      <c r="W65" s="370"/>
      <c r="X65" s="370"/>
      <c r="Y65" s="370"/>
      <c r="Z65" s="370"/>
      <c r="AA65" s="370"/>
      <c r="AB65" s="370"/>
      <c r="AC65" s="370"/>
      <c r="AD65" s="370"/>
      <c r="AE65" s="370"/>
      <c r="AF65" s="370"/>
      <c r="AG65" s="370"/>
      <c r="AH65" s="370"/>
      <c r="AI65" s="371">
        <f t="shared" si="21"/>
        <v>0</v>
      </c>
      <c r="AJ65" s="372">
        <f t="shared" si="22"/>
        <v>0</v>
      </c>
    </row>
    <row r="66" spans="1:36" ht="15" thickBot="1" x14ac:dyDescent="0.4">
      <c r="A66" s="332"/>
      <c r="B66" s="297"/>
      <c r="C66" s="297"/>
      <c r="D66" s="297"/>
      <c r="E66" s="297"/>
      <c r="F66" s="297"/>
      <c r="G66" s="297"/>
      <c r="H66" s="297"/>
      <c r="I66" s="297"/>
      <c r="J66" s="333"/>
      <c r="K66" s="333"/>
      <c r="L66" s="333"/>
      <c r="M66" s="333"/>
      <c r="N66" s="333"/>
      <c r="O66" s="333"/>
      <c r="P66" s="333"/>
      <c r="Q66" s="391">
        <f>SUM(Q8:Q65)</f>
        <v>0</v>
      </c>
      <c r="R66" s="391">
        <f>SUM(R8:R65)</f>
        <v>0</v>
      </c>
      <c r="S66" s="391">
        <f>SUM(S8:S65)</f>
        <v>0</v>
      </c>
      <c r="T66" s="391">
        <f>SUM(T8:T65)</f>
        <v>0</v>
      </c>
      <c r="U66" s="334"/>
      <c r="V66" s="334" t="s">
        <v>1394</v>
      </c>
      <c r="W66" s="391">
        <f t="shared" ref="W66:AJ66" si="23">SUM(W9:W65)</f>
        <v>0</v>
      </c>
      <c r="X66" s="391">
        <f t="shared" si="23"/>
        <v>0</v>
      </c>
      <c r="Y66" s="391">
        <f t="shared" si="23"/>
        <v>0</v>
      </c>
      <c r="Z66" s="391">
        <f t="shared" si="23"/>
        <v>0</v>
      </c>
      <c r="AA66" s="391">
        <f t="shared" si="23"/>
        <v>0</v>
      </c>
      <c r="AB66" s="391">
        <f t="shared" si="23"/>
        <v>0</v>
      </c>
      <c r="AC66" s="391">
        <f t="shared" si="23"/>
        <v>0</v>
      </c>
      <c r="AD66" s="391">
        <f t="shared" si="23"/>
        <v>0</v>
      </c>
      <c r="AE66" s="391">
        <f t="shared" si="23"/>
        <v>0</v>
      </c>
      <c r="AF66" s="391">
        <f t="shared" si="23"/>
        <v>0</v>
      </c>
      <c r="AG66" s="391">
        <f t="shared" si="23"/>
        <v>0</v>
      </c>
      <c r="AH66" s="391">
        <f t="shared" si="23"/>
        <v>0</v>
      </c>
      <c r="AI66" s="391">
        <f t="shared" si="23"/>
        <v>0</v>
      </c>
      <c r="AJ66" s="391">
        <f t="shared" si="23"/>
        <v>0</v>
      </c>
    </row>
    <row r="67" spans="1:36" ht="15" thickTop="1" x14ac:dyDescent="0.35">
      <c r="A67" s="296"/>
      <c r="B67" s="298"/>
      <c r="C67" s="298"/>
      <c r="D67" s="298"/>
      <c r="E67" s="298"/>
      <c r="F67" s="298"/>
      <c r="G67" s="298"/>
      <c r="H67" s="298"/>
      <c r="I67" s="298"/>
      <c r="J67" s="335"/>
      <c r="K67" s="335"/>
      <c r="L67" s="335"/>
      <c r="M67" s="335"/>
      <c r="N67" s="335"/>
      <c r="O67" s="335"/>
      <c r="P67" s="335"/>
      <c r="Q67" s="335"/>
      <c r="R67" s="335"/>
      <c r="S67" s="335"/>
      <c r="T67" s="335"/>
      <c r="U67" s="298"/>
      <c r="V67" s="298"/>
      <c r="W67" s="336"/>
      <c r="X67" s="336"/>
      <c r="Y67" s="336"/>
      <c r="Z67" s="336"/>
      <c r="AA67" s="336"/>
      <c r="AB67" s="336"/>
      <c r="AC67" s="336"/>
      <c r="AD67" s="336"/>
      <c r="AE67" s="336"/>
      <c r="AF67" s="336"/>
      <c r="AG67" s="336"/>
      <c r="AH67" s="336"/>
      <c r="AI67" s="336"/>
      <c r="AJ67" s="336"/>
    </row>
    <row r="68" spans="1:36" x14ac:dyDescent="0.35">
      <c r="A68" s="296" t="s">
        <v>1401</v>
      </c>
      <c r="B68" s="297"/>
      <c r="C68" s="297"/>
      <c r="D68" s="297"/>
      <c r="E68" s="297"/>
      <c r="F68" s="297"/>
      <c r="G68" s="297"/>
      <c r="H68" s="297"/>
      <c r="I68" s="297"/>
      <c r="J68" s="333"/>
      <c r="K68" s="333"/>
      <c r="L68" s="333"/>
      <c r="M68" s="333"/>
      <c r="N68" s="333"/>
      <c r="O68" s="333"/>
      <c r="P68" s="333"/>
      <c r="Q68" s="333"/>
      <c r="R68" s="333"/>
      <c r="S68" s="333"/>
      <c r="T68" s="333"/>
      <c r="U68" s="297"/>
      <c r="V68" s="297"/>
      <c r="W68" s="337"/>
      <c r="X68" s="337"/>
      <c r="Y68" s="337"/>
      <c r="Z68" s="337"/>
      <c r="AA68" s="337"/>
      <c r="AB68" s="337"/>
      <c r="AC68" s="337"/>
      <c r="AD68" s="337"/>
      <c r="AE68" s="337"/>
      <c r="AF68" s="337"/>
      <c r="AG68" s="337" t="s">
        <v>1402</v>
      </c>
      <c r="AH68" s="337"/>
      <c r="AI68" s="337" t="s">
        <v>1403</v>
      </c>
      <c r="AJ68" s="337" t="s">
        <v>1395</v>
      </c>
    </row>
    <row r="69" spans="1:36" x14ac:dyDescent="0.35">
      <c r="A69" s="298" t="s">
        <v>1404</v>
      </c>
      <c r="B69" s="297"/>
      <c r="C69" s="297"/>
      <c r="D69" s="297"/>
      <c r="E69" s="297"/>
      <c r="F69" s="297"/>
      <c r="G69" s="297"/>
      <c r="H69" s="297"/>
      <c r="I69" s="297"/>
      <c r="J69" s="333">
        <f>SUM(J9:J30)</f>
        <v>0</v>
      </c>
      <c r="K69" s="333">
        <f t="shared" ref="K69:L69" si="24">SUM(K9:K30)</f>
        <v>0</v>
      </c>
      <c r="L69" s="333">
        <f t="shared" si="24"/>
        <v>0</v>
      </c>
      <c r="M69" s="333">
        <f>SUM(M9:M30)</f>
        <v>0</v>
      </c>
      <c r="N69" s="333">
        <f t="shared" ref="N69:P69" si="25">SUM(N9:N30)</f>
        <v>0</v>
      </c>
      <c r="O69" s="333">
        <f t="shared" si="25"/>
        <v>0</v>
      </c>
      <c r="P69" s="333">
        <f t="shared" si="25"/>
        <v>0</v>
      </c>
      <c r="Q69" s="333">
        <f>SUM(Q9:Q30)</f>
        <v>0</v>
      </c>
      <c r="R69" s="333">
        <f>SUM(R9:R30)</f>
        <v>0</v>
      </c>
      <c r="S69" s="333">
        <f>SUM(S9:S30)</f>
        <v>0</v>
      </c>
      <c r="T69" s="333">
        <f>SUM(T9:T30)</f>
        <v>0</v>
      </c>
      <c r="U69" s="296"/>
      <c r="V69" s="296"/>
      <c r="W69" s="338"/>
      <c r="X69" s="338"/>
      <c r="Y69" s="338"/>
      <c r="Z69" s="338"/>
      <c r="AA69" s="338"/>
      <c r="AB69" s="338"/>
      <c r="AC69" s="338"/>
      <c r="AD69" s="338"/>
      <c r="AE69" s="338"/>
      <c r="AF69" s="338"/>
      <c r="AG69" s="297" t="s">
        <v>1404</v>
      </c>
      <c r="AH69" s="337"/>
      <c r="AI69" s="333">
        <f>SUM(AI9:AI30)</f>
        <v>0</v>
      </c>
      <c r="AJ69" s="333">
        <f>SUM(AJ9:AJ30)</f>
        <v>0</v>
      </c>
    </row>
    <row r="70" spans="1:36" x14ac:dyDescent="0.35">
      <c r="A70" s="298" t="s">
        <v>1405</v>
      </c>
      <c r="B70" s="296"/>
      <c r="C70" s="296"/>
      <c r="D70" s="296"/>
      <c r="E70" s="296"/>
      <c r="F70" s="296"/>
      <c r="G70" s="296"/>
      <c r="H70" s="296"/>
      <c r="I70" s="296"/>
      <c r="J70" s="333">
        <f>SUM(J32:J44)</f>
        <v>0</v>
      </c>
      <c r="K70" s="333">
        <f t="shared" ref="K70:L70" si="26">SUM(K32:K44)</f>
        <v>0</v>
      </c>
      <c r="L70" s="333">
        <f t="shared" si="26"/>
        <v>0</v>
      </c>
      <c r="M70" s="333">
        <f>SUM(M32:M44)</f>
        <v>0</v>
      </c>
      <c r="N70" s="333">
        <f t="shared" ref="N70:P70" si="27">SUM(N32:N44)</f>
        <v>0</v>
      </c>
      <c r="O70" s="333">
        <f t="shared" si="27"/>
        <v>0</v>
      </c>
      <c r="P70" s="333">
        <f t="shared" si="27"/>
        <v>0</v>
      </c>
      <c r="Q70" s="333">
        <f>SUM(Q32:Q44)</f>
        <v>0</v>
      </c>
      <c r="R70" s="333">
        <f>SUM(R32:R44)</f>
        <v>0</v>
      </c>
      <c r="S70" s="333">
        <f>SUM(S32:S44)</f>
        <v>0</v>
      </c>
      <c r="T70" s="333">
        <f>SUM(T32:T44)</f>
        <v>0</v>
      </c>
      <c r="U70" s="296"/>
      <c r="V70" s="296"/>
      <c r="W70" s="338"/>
      <c r="X70" s="338"/>
      <c r="Y70" s="338"/>
      <c r="Z70" s="338"/>
      <c r="AA70" s="338"/>
      <c r="AB70" s="338"/>
      <c r="AC70" s="338"/>
      <c r="AD70" s="338"/>
      <c r="AE70" s="338"/>
      <c r="AF70" s="338"/>
      <c r="AG70" s="297" t="s">
        <v>1405</v>
      </c>
      <c r="AH70" s="337"/>
      <c r="AI70" s="333">
        <f>SUM(AI32:AI44)</f>
        <v>0</v>
      </c>
      <c r="AJ70" s="333">
        <f>SUM(AJ32:AJ44)</f>
        <v>0</v>
      </c>
    </row>
    <row r="71" spans="1:36" x14ac:dyDescent="0.35">
      <c r="A71" s="298" t="s">
        <v>1398</v>
      </c>
      <c r="B71" s="297"/>
      <c r="C71" s="297"/>
      <c r="D71" s="297"/>
      <c r="E71" s="297"/>
      <c r="F71" s="297"/>
      <c r="G71" s="297"/>
      <c r="H71" s="297"/>
      <c r="I71" s="297"/>
      <c r="J71" s="333">
        <f>SUM(J46:J48)</f>
        <v>0</v>
      </c>
      <c r="K71" s="333">
        <f t="shared" ref="K71:L71" si="28">SUM(K46:K48)</f>
        <v>0</v>
      </c>
      <c r="L71" s="333">
        <f t="shared" si="28"/>
        <v>0</v>
      </c>
      <c r="M71" s="333">
        <f>SUM(M46:M48)</f>
        <v>0</v>
      </c>
      <c r="N71" s="333">
        <f t="shared" ref="N71:P71" si="29">SUM(N46:N48)</f>
        <v>0</v>
      </c>
      <c r="O71" s="333">
        <f t="shared" si="29"/>
        <v>0</v>
      </c>
      <c r="P71" s="333">
        <f t="shared" si="29"/>
        <v>0</v>
      </c>
      <c r="Q71" s="333">
        <f>SUM(Q46:Q48)</f>
        <v>0</v>
      </c>
      <c r="R71" s="333">
        <f>SUM(R46:R48)</f>
        <v>0</v>
      </c>
      <c r="S71" s="333">
        <f t="shared" ref="S71:T71" si="30">SUM(S46:S48)</f>
        <v>0</v>
      </c>
      <c r="T71" s="333">
        <f t="shared" si="30"/>
        <v>0</v>
      </c>
      <c r="U71" s="296"/>
      <c r="V71" s="296"/>
      <c r="W71" s="338"/>
      <c r="X71" s="338"/>
      <c r="Y71" s="338"/>
      <c r="Z71" s="338"/>
      <c r="AA71" s="338"/>
      <c r="AB71" s="338"/>
      <c r="AC71" s="338"/>
      <c r="AD71" s="338"/>
      <c r="AE71" s="338"/>
      <c r="AF71" s="338"/>
      <c r="AG71" s="297" t="s">
        <v>1398</v>
      </c>
      <c r="AH71" s="337"/>
      <c r="AI71" s="333">
        <f>SUM(AI46:AI48)</f>
        <v>0</v>
      </c>
      <c r="AJ71" s="333">
        <f>SUM(AJ46:AJ48)</f>
        <v>0</v>
      </c>
    </row>
    <row r="72" spans="1:36" x14ac:dyDescent="0.35">
      <c r="A72" s="298" t="s">
        <v>1399</v>
      </c>
      <c r="B72" s="297"/>
      <c r="C72" s="297"/>
      <c r="D72" s="297"/>
      <c r="E72" s="297"/>
      <c r="F72" s="297"/>
      <c r="G72" s="297"/>
      <c r="H72" s="297"/>
      <c r="I72" s="297"/>
      <c r="J72" s="333">
        <f>SUM(J50:J61)</f>
        <v>0</v>
      </c>
      <c r="K72" s="333">
        <f t="shared" ref="K72:Q72" si="31">SUM(K50:K61)</f>
        <v>0</v>
      </c>
      <c r="L72" s="333">
        <f t="shared" si="31"/>
        <v>0</v>
      </c>
      <c r="M72" s="333">
        <f t="shared" si="31"/>
        <v>0</v>
      </c>
      <c r="N72" s="333">
        <f t="shared" si="31"/>
        <v>0</v>
      </c>
      <c r="O72" s="333">
        <f t="shared" si="31"/>
        <v>0</v>
      </c>
      <c r="P72" s="333">
        <f t="shared" si="31"/>
        <v>0</v>
      </c>
      <c r="Q72" s="333">
        <f t="shared" si="31"/>
        <v>0</v>
      </c>
      <c r="R72" s="333">
        <f>SUM(R58:R61)</f>
        <v>0</v>
      </c>
      <c r="S72" s="333">
        <f t="shared" ref="S72:T72" si="32">SUM(S58:S61)</f>
        <v>0</v>
      </c>
      <c r="T72" s="333">
        <f t="shared" si="32"/>
        <v>0</v>
      </c>
      <c r="U72" s="296"/>
      <c r="V72" s="296"/>
      <c r="W72" s="338"/>
      <c r="X72" s="338"/>
      <c r="Y72" s="338"/>
      <c r="Z72" s="338"/>
      <c r="AA72" s="338"/>
      <c r="AB72" s="338"/>
      <c r="AC72" s="338"/>
      <c r="AD72" s="338"/>
      <c r="AE72" s="338"/>
      <c r="AF72" s="338"/>
      <c r="AG72" s="297" t="s">
        <v>1399</v>
      </c>
      <c r="AH72" s="337"/>
      <c r="AI72" s="333">
        <f>SUM(AI58:AI61)</f>
        <v>0</v>
      </c>
      <c r="AJ72" s="333">
        <f>SUM(AJ58:AJ61)</f>
        <v>0</v>
      </c>
    </row>
    <row r="73" spans="1:36" x14ac:dyDescent="0.35">
      <c r="A73" s="298" t="s">
        <v>1406</v>
      </c>
      <c r="B73" s="297"/>
      <c r="C73" s="297"/>
      <c r="D73" s="297"/>
      <c r="E73" s="297"/>
      <c r="F73" s="297"/>
      <c r="G73" s="297"/>
      <c r="H73" s="297"/>
      <c r="I73" s="297"/>
      <c r="J73" s="333">
        <f>SUM(J63:J65)</f>
        <v>0</v>
      </c>
      <c r="K73" s="333">
        <f t="shared" ref="K73:L73" si="33">SUM(K63:K65)</f>
        <v>0</v>
      </c>
      <c r="L73" s="333">
        <f t="shared" si="33"/>
        <v>0</v>
      </c>
      <c r="M73" s="333">
        <f>SUM(M63:M65)</f>
        <v>0</v>
      </c>
      <c r="N73" s="333">
        <f t="shared" ref="N73:P73" si="34">SUM(N63:N65)</f>
        <v>0</v>
      </c>
      <c r="O73" s="333">
        <f t="shared" si="34"/>
        <v>0</v>
      </c>
      <c r="P73" s="333">
        <f t="shared" si="34"/>
        <v>0</v>
      </c>
      <c r="Q73" s="333">
        <f>SUM(Q63:Q65)</f>
        <v>0</v>
      </c>
      <c r="R73" s="333">
        <f>SUM(R63:R65)</f>
        <v>0</v>
      </c>
      <c r="S73" s="333">
        <f t="shared" ref="S73:T73" si="35">SUM(S63:S65)</f>
        <v>0</v>
      </c>
      <c r="T73" s="333">
        <f t="shared" si="35"/>
        <v>0</v>
      </c>
      <c r="U73" s="296"/>
      <c r="V73" s="296"/>
      <c r="W73" s="338"/>
      <c r="X73" s="338"/>
      <c r="Y73" s="338"/>
      <c r="Z73" s="338"/>
      <c r="AA73" s="338"/>
      <c r="AB73" s="338"/>
      <c r="AC73" s="338"/>
      <c r="AD73" s="338"/>
      <c r="AE73" s="338"/>
      <c r="AF73" s="338"/>
      <c r="AG73" s="297" t="s">
        <v>1406</v>
      </c>
      <c r="AH73" s="337"/>
      <c r="AI73" s="333">
        <f>SUM(AI63:AI65)</f>
        <v>0</v>
      </c>
      <c r="AJ73" s="333">
        <f>SUM(AJ63:AJ65)</f>
        <v>0</v>
      </c>
    </row>
    <row r="74" spans="1:36" ht="15" thickBot="1" x14ac:dyDescent="0.4">
      <c r="A74" s="298" t="s">
        <v>1282</v>
      </c>
      <c r="B74" s="297"/>
      <c r="C74" s="297"/>
      <c r="D74" s="297"/>
      <c r="E74" s="297"/>
      <c r="F74" s="297"/>
      <c r="G74" s="297"/>
      <c r="H74" s="297"/>
      <c r="I74" s="297"/>
      <c r="J74" s="339">
        <f>SUM(J69:J73)</f>
        <v>0</v>
      </c>
      <c r="K74" s="339">
        <f t="shared" ref="K74:Q74" si="36">SUM(K69:K73)</f>
        <v>0</v>
      </c>
      <c r="L74" s="339">
        <f t="shared" si="36"/>
        <v>0</v>
      </c>
      <c r="M74" s="339">
        <f t="shared" si="36"/>
        <v>0</v>
      </c>
      <c r="N74" s="339">
        <f t="shared" si="36"/>
        <v>0</v>
      </c>
      <c r="O74" s="339">
        <f t="shared" si="36"/>
        <v>0</v>
      </c>
      <c r="P74" s="339">
        <f t="shared" si="36"/>
        <v>0</v>
      </c>
      <c r="Q74" s="339">
        <f t="shared" si="36"/>
        <v>0</v>
      </c>
      <c r="R74" s="339">
        <f>SUM(R69:R73)</f>
        <v>0</v>
      </c>
      <c r="S74" s="339">
        <f t="shared" ref="S74:T74" si="37">SUM(S69:S73)</f>
        <v>0</v>
      </c>
      <c r="T74" s="339">
        <f t="shared" si="37"/>
        <v>0</v>
      </c>
      <c r="U74" s="296"/>
      <c r="V74" s="296"/>
      <c r="W74" s="338"/>
      <c r="X74" s="338"/>
      <c r="Y74" s="338"/>
      <c r="Z74" s="338"/>
      <c r="AA74" s="338"/>
      <c r="AB74" s="338"/>
      <c r="AC74" s="338"/>
      <c r="AD74" s="338"/>
      <c r="AE74" s="338"/>
      <c r="AF74" s="338"/>
      <c r="AG74" s="297" t="s">
        <v>1282</v>
      </c>
      <c r="AH74" s="337"/>
      <c r="AI74" s="339">
        <f>SUM(AI69:AI73)</f>
        <v>0</v>
      </c>
      <c r="AJ74" s="339">
        <f>SUM(AJ69:AJ73)</f>
        <v>0</v>
      </c>
    </row>
    <row r="75" spans="1:36" ht="15" thickTop="1" x14ac:dyDescent="0.35">
      <c r="A75" s="296"/>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row>
    <row r="76" spans="1:36" ht="15" thickBot="1" x14ac:dyDescent="0.4">
      <c r="A76" s="296"/>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340" t="s">
        <v>1407</v>
      </c>
      <c r="AH76" s="340"/>
      <c r="AI76" s="469">
        <f>AI74+AJ74</f>
        <v>0</v>
      </c>
      <c r="AJ76" s="470"/>
    </row>
  </sheetData>
  <mergeCells count="4">
    <mergeCell ref="W5:AJ5"/>
    <mergeCell ref="AI76:AJ76"/>
    <mergeCell ref="A1:B1"/>
    <mergeCell ref="B3:C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AC9B-5E4D-4B9B-A541-F3FF266CF087}">
  <sheetPr codeName="Sheet9">
    <tabColor theme="7" tint="0.39997558519241921"/>
  </sheetPr>
  <dimension ref="A1:N8"/>
  <sheetViews>
    <sheetView zoomScale="70" zoomScaleNormal="70" workbookViewId="0">
      <selection sqref="A1:B1"/>
    </sheetView>
  </sheetViews>
  <sheetFormatPr defaultRowHeight="12.75" customHeight="1" x14ac:dyDescent="0.25"/>
  <cols>
    <col min="1" max="1" width="14.26953125" customWidth="1"/>
    <col min="2" max="3" width="49.453125" customWidth="1"/>
    <col min="4" max="5" width="28.453125" customWidth="1"/>
    <col min="6" max="6" width="11" customWidth="1"/>
    <col min="7" max="7" width="9.7265625" customWidth="1"/>
    <col min="8" max="8" width="10.54296875" customWidth="1"/>
    <col min="11" max="11" width="34.81640625" bestFit="1" customWidth="1"/>
    <col min="12" max="12" width="31.1796875" customWidth="1"/>
    <col min="13" max="13" width="34.1796875" customWidth="1"/>
    <col min="14" max="14" width="12.453125" customWidth="1"/>
  </cols>
  <sheetData>
    <row r="1" spans="1:14" ht="20" x14ac:dyDescent="0.25">
      <c r="A1" s="447" t="s">
        <v>1039</v>
      </c>
      <c r="B1" s="448"/>
      <c r="C1" s="57"/>
      <c r="D1" s="57"/>
      <c r="F1" s="134"/>
      <c r="G1" s="134"/>
      <c r="H1" s="134"/>
      <c r="I1" s="134"/>
      <c r="J1" s="134"/>
    </row>
    <row r="2" spans="1:14" ht="14" x14ac:dyDescent="0.25">
      <c r="A2" s="20"/>
      <c r="F2" s="56"/>
      <c r="G2" s="56"/>
      <c r="H2" s="56"/>
      <c r="I2" s="56"/>
      <c r="J2" s="56"/>
    </row>
    <row r="3" spans="1:14" ht="13" x14ac:dyDescent="0.25">
      <c r="A3" s="22" t="s">
        <v>16</v>
      </c>
      <c r="B3" s="449" t="str">
        <f>Summary!C5</f>
        <v>Select School Name</v>
      </c>
      <c r="C3" s="449"/>
      <c r="D3" s="21" t="s">
        <v>1082</v>
      </c>
      <c r="E3" s="127" t="str">
        <f>Summary!C6</f>
        <v>-</v>
      </c>
    </row>
    <row r="4" spans="1:14" ht="14" x14ac:dyDescent="0.25">
      <c r="F4" s="56"/>
      <c r="G4" s="56"/>
      <c r="H4" s="56"/>
      <c r="I4" s="56"/>
      <c r="J4" s="56"/>
    </row>
    <row r="5" spans="1:14" ht="14" x14ac:dyDescent="0.25">
      <c r="F5" s="56"/>
      <c r="G5" s="56"/>
      <c r="H5" s="56"/>
      <c r="I5" s="56"/>
      <c r="J5" s="56"/>
    </row>
    <row r="6" spans="1:14" ht="14" x14ac:dyDescent="0.25">
      <c r="F6" s="56"/>
      <c r="G6" s="56"/>
      <c r="H6" s="56"/>
      <c r="I6" s="56"/>
      <c r="J6" s="56"/>
    </row>
    <row r="7" spans="1:14" ht="14" x14ac:dyDescent="0.25">
      <c r="F7" s="56"/>
      <c r="G7" s="56"/>
      <c r="H7" s="56"/>
      <c r="I7" s="56"/>
      <c r="J7" s="56"/>
    </row>
    <row r="8" spans="1:14" ht="26" x14ac:dyDescent="0.25">
      <c r="A8" s="127" t="s">
        <v>1057</v>
      </c>
      <c r="B8" s="49" t="s">
        <v>1408</v>
      </c>
      <c r="C8" s="49" t="s">
        <v>1174</v>
      </c>
      <c r="D8" s="49" t="s">
        <v>1409</v>
      </c>
      <c r="E8" s="49" t="s">
        <v>1410</v>
      </c>
      <c r="F8" s="341" t="s">
        <v>1411</v>
      </c>
      <c r="G8" s="341" t="s">
        <v>1412</v>
      </c>
      <c r="H8" s="341" t="s">
        <v>1413</v>
      </c>
      <c r="I8" s="341" t="s">
        <v>1414</v>
      </c>
      <c r="J8" s="341" t="s">
        <v>1415</v>
      </c>
      <c r="K8" s="127" t="s">
        <v>1184</v>
      </c>
      <c r="L8" s="49" t="s">
        <v>1185</v>
      </c>
      <c r="M8" s="49" t="s">
        <v>1186</v>
      </c>
      <c r="N8" s="342" t="s">
        <v>1187</v>
      </c>
    </row>
  </sheetData>
  <mergeCells count="2">
    <mergeCell ref="A1:B1"/>
    <mergeCell ref="B3:C3"/>
  </mergeCells>
  <pageMargins left="0.7" right="0.7" top="0.75" bottom="0.75" header="0.3" footer="0.3"/>
  <headerFooter>
    <oddFooter>&amp;C_x000D_&amp;1#&amp;"Calibri"&amp;10&amp;K000000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F36B0-D2DF-4A1D-AFFA-345AE4E9090D}">
  <sheetPr codeName="Sheet20">
    <tabColor rgb="FF0070C0"/>
  </sheetPr>
  <dimension ref="A1:C20"/>
  <sheetViews>
    <sheetView topLeftCell="A9" workbookViewId="0">
      <selection activeCell="C20" sqref="C20"/>
    </sheetView>
  </sheetViews>
  <sheetFormatPr defaultRowHeight="14.5" x14ac:dyDescent="0.35"/>
  <cols>
    <col min="1" max="1" width="3.54296875" style="181" customWidth="1"/>
    <col min="2" max="2" width="24.54296875" style="181" customWidth="1"/>
    <col min="3" max="3" width="89.453125" style="181" customWidth="1"/>
    <col min="4" max="244" width="9.1796875" style="181"/>
    <col min="245" max="245" width="0.54296875" style="181" customWidth="1"/>
    <col min="246" max="246" width="9.453125" style="181" customWidth="1"/>
    <col min="247" max="247" width="14.453125" style="181" customWidth="1"/>
    <col min="248" max="500" width="9.1796875" style="181"/>
    <col min="501" max="501" width="0.54296875" style="181" customWidth="1"/>
    <col min="502" max="502" width="9.453125" style="181" customWidth="1"/>
    <col min="503" max="503" width="14.453125" style="181" customWidth="1"/>
    <col min="504" max="756" width="9.1796875" style="181"/>
    <col min="757" max="757" width="0.54296875" style="181" customWidth="1"/>
    <col min="758" max="758" width="9.453125" style="181" customWidth="1"/>
    <col min="759" max="759" width="14.453125" style="181" customWidth="1"/>
    <col min="760" max="1012" width="9.1796875" style="181"/>
    <col min="1013" max="1013" width="0.54296875" style="181" customWidth="1"/>
    <col min="1014" max="1014" width="9.453125" style="181" customWidth="1"/>
    <col min="1015" max="1015" width="14.453125" style="181" customWidth="1"/>
    <col min="1016" max="1268" width="9.1796875" style="181"/>
    <col min="1269" max="1269" width="0.54296875" style="181" customWidth="1"/>
    <col min="1270" max="1270" width="9.453125" style="181" customWidth="1"/>
    <col min="1271" max="1271" width="14.453125" style="181" customWidth="1"/>
    <col min="1272" max="1524" width="9.1796875" style="181"/>
    <col min="1525" max="1525" width="0.54296875" style="181" customWidth="1"/>
    <col min="1526" max="1526" width="9.453125" style="181" customWidth="1"/>
    <col min="1527" max="1527" width="14.453125" style="181" customWidth="1"/>
    <col min="1528" max="1780" width="9.1796875" style="181"/>
    <col min="1781" max="1781" width="0.54296875" style="181" customWidth="1"/>
    <col min="1782" max="1782" width="9.453125" style="181" customWidth="1"/>
    <col min="1783" max="1783" width="14.453125" style="181" customWidth="1"/>
    <col min="1784" max="2036" width="9.1796875" style="181"/>
    <col min="2037" max="2037" width="0.54296875" style="181" customWidth="1"/>
    <col min="2038" max="2038" width="9.453125" style="181" customWidth="1"/>
    <col min="2039" max="2039" width="14.453125" style="181" customWidth="1"/>
    <col min="2040" max="2292" width="9.1796875" style="181"/>
    <col min="2293" max="2293" width="0.54296875" style="181" customWidth="1"/>
    <col min="2294" max="2294" width="9.453125" style="181" customWidth="1"/>
    <col min="2295" max="2295" width="14.453125" style="181" customWidth="1"/>
    <col min="2296" max="2548" width="9.1796875" style="181"/>
    <col min="2549" max="2549" width="0.54296875" style="181" customWidth="1"/>
    <col min="2550" max="2550" width="9.453125" style="181" customWidth="1"/>
    <col min="2551" max="2551" width="14.453125" style="181" customWidth="1"/>
    <col min="2552" max="2804" width="9.1796875" style="181"/>
    <col min="2805" max="2805" width="0.54296875" style="181" customWidth="1"/>
    <col min="2806" max="2806" width="9.453125" style="181" customWidth="1"/>
    <col min="2807" max="2807" width="14.453125" style="181" customWidth="1"/>
    <col min="2808" max="3060" width="9.1796875" style="181"/>
    <col min="3061" max="3061" width="0.54296875" style="181" customWidth="1"/>
    <col min="3062" max="3062" width="9.453125" style="181" customWidth="1"/>
    <col min="3063" max="3063" width="14.453125" style="181" customWidth="1"/>
    <col min="3064" max="3316" width="9.1796875" style="181"/>
    <col min="3317" max="3317" width="0.54296875" style="181" customWidth="1"/>
    <col min="3318" max="3318" width="9.453125" style="181" customWidth="1"/>
    <col min="3319" max="3319" width="14.453125" style="181" customWidth="1"/>
    <col min="3320" max="3572" width="9.1796875" style="181"/>
    <col min="3573" max="3573" width="0.54296875" style="181" customWidth="1"/>
    <col min="3574" max="3574" width="9.453125" style="181" customWidth="1"/>
    <col min="3575" max="3575" width="14.453125" style="181" customWidth="1"/>
    <col min="3576" max="3828" width="9.1796875" style="181"/>
    <col min="3829" max="3829" width="0.54296875" style="181" customWidth="1"/>
    <col min="3830" max="3830" width="9.453125" style="181" customWidth="1"/>
    <col min="3831" max="3831" width="14.453125" style="181" customWidth="1"/>
    <col min="3832" max="4084" width="9.1796875" style="181"/>
    <col min="4085" max="4085" width="0.54296875" style="181" customWidth="1"/>
    <col min="4086" max="4086" width="9.453125" style="181" customWidth="1"/>
    <col min="4087" max="4087" width="14.453125" style="181" customWidth="1"/>
    <col min="4088" max="4340" width="9.1796875" style="181"/>
    <col min="4341" max="4341" width="0.54296875" style="181" customWidth="1"/>
    <col min="4342" max="4342" width="9.453125" style="181" customWidth="1"/>
    <col min="4343" max="4343" width="14.453125" style="181" customWidth="1"/>
    <col min="4344" max="4596" width="9.1796875" style="181"/>
    <col min="4597" max="4597" width="0.54296875" style="181" customWidth="1"/>
    <col min="4598" max="4598" width="9.453125" style="181" customWidth="1"/>
    <col min="4599" max="4599" width="14.453125" style="181" customWidth="1"/>
    <col min="4600" max="4852" width="9.1796875" style="181"/>
    <col min="4853" max="4853" width="0.54296875" style="181" customWidth="1"/>
    <col min="4854" max="4854" width="9.453125" style="181" customWidth="1"/>
    <col min="4855" max="4855" width="14.453125" style="181" customWidth="1"/>
    <col min="4856" max="5108" width="9.1796875" style="181"/>
    <col min="5109" max="5109" width="0.54296875" style="181" customWidth="1"/>
    <col min="5110" max="5110" width="9.453125" style="181" customWidth="1"/>
    <col min="5111" max="5111" width="14.453125" style="181" customWidth="1"/>
    <col min="5112" max="5364" width="9.1796875" style="181"/>
    <col min="5365" max="5365" width="0.54296875" style="181" customWidth="1"/>
    <col min="5366" max="5366" width="9.453125" style="181" customWidth="1"/>
    <col min="5367" max="5367" width="14.453125" style="181" customWidth="1"/>
    <col min="5368" max="5620" width="9.1796875" style="181"/>
    <col min="5621" max="5621" width="0.54296875" style="181" customWidth="1"/>
    <col min="5622" max="5622" width="9.453125" style="181" customWidth="1"/>
    <col min="5623" max="5623" width="14.453125" style="181" customWidth="1"/>
    <col min="5624" max="5876" width="9.1796875" style="181"/>
    <col min="5877" max="5877" width="0.54296875" style="181" customWidth="1"/>
    <col min="5878" max="5878" width="9.453125" style="181" customWidth="1"/>
    <col min="5879" max="5879" width="14.453125" style="181" customWidth="1"/>
    <col min="5880" max="6132" width="9.1796875" style="181"/>
    <col min="6133" max="6133" width="0.54296875" style="181" customWidth="1"/>
    <col min="6134" max="6134" width="9.453125" style="181" customWidth="1"/>
    <col min="6135" max="6135" width="14.453125" style="181" customWidth="1"/>
    <col min="6136" max="6388" width="9.1796875" style="181"/>
    <col min="6389" max="6389" width="0.54296875" style="181" customWidth="1"/>
    <col min="6390" max="6390" width="9.453125" style="181" customWidth="1"/>
    <col min="6391" max="6391" width="14.453125" style="181" customWidth="1"/>
    <col min="6392" max="6644" width="9.1796875" style="181"/>
    <col min="6645" max="6645" width="0.54296875" style="181" customWidth="1"/>
    <col min="6646" max="6646" width="9.453125" style="181" customWidth="1"/>
    <col min="6647" max="6647" width="14.453125" style="181" customWidth="1"/>
    <col min="6648" max="6900" width="9.1796875" style="181"/>
    <col min="6901" max="6901" width="0.54296875" style="181" customWidth="1"/>
    <col min="6902" max="6902" width="9.453125" style="181" customWidth="1"/>
    <col min="6903" max="6903" width="14.453125" style="181" customWidth="1"/>
    <col min="6904" max="7156" width="9.1796875" style="181"/>
    <col min="7157" max="7157" width="0.54296875" style="181" customWidth="1"/>
    <col min="7158" max="7158" width="9.453125" style="181" customWidth="1"/>
    <col min="7159" max="7159" width="14.453125" style="181" customWidth="1"/>
    <col min="7160" max="7412" width="9.1796875" style="181"/>
    <col min="7413" max="7413" width="0.54296875" style="181" customWidth="1"/>
    <col min="7414" max="7414" width="9.453125" style="181" customWidth="1"/>
    <col min="7415" max="7415" width="14.453125" style="181" customWidth="1"/>
    <col min="7416" max="7668" width="9.1796875" style="181"/>
    <col min="7669" max="7669" width="0.54296875" style="181" customWidth="1"/>
    <col min="7670" max="7670" width="9.453125" style="181" customWidth="1"/>
    <col min="7671" max="7671" width="14.453125" style="181" customWidth="1"/>
    <col min="7672" max="7924" width="9.1796875" style="181"/>
    <col min="7925" max="7925" width="0.54296875" style="181" customWidth="1"/>
    <col min="7926" max="7926" width="9.453125" style="181" customWidth="1"/>
    <col min="7927" max="7927" width="14.453125" style="181" customWidth="1"/>
    <col min="7928" max="8180" width="9.1796875" style="181"/>
    <col min="8181" max="8181" width="0.54296875" style="181" customWidth="1"/>
    <col min="8182" max="8182" width="9.453125" style="181" customWidth="1"/>
    <col min="8183" max="8183" width="14.453125" style="181" customWidth="1"/>
    <col min="8184" max="8436" width="9.1796875" style="181"/>
    <col min="8437" max="8437" width="0.54296875" style="181" customWidth="1"/>
    <col min="8438" max="8438" width="9.453125" style="181" customWidth="1"/>
    <col min="8439" max="8439" width="14.453125" style="181" customWidth="1"/>
    <col min="8440" max="8692" width="9.1796875" style="181"/>
    <col min="8693" max="8693" width="0.54296875" style="181" customWidth="1"/>
    <col min="8694" max="8694" width="9.453125" style="181" customWidth="1"/>
    <col min="8695" max="8695" width="14.453125" style="181" customWidth="1"/>
    <col min="8696" max="8948" width="9.1796875" style="181"/>
    <col min="8949" max="8949" width="0.54296875" style="181" customWidth="1"/>
    <col min="8950" max="8950" width="9.453125" style="181" customWidth="1"/>
    <col min="8951" max="8951" width="14.453125" style="181" customWidth="1"/>
    <col min="8952" max="9204" width="9.1796875" style="181"/>
    <col min="9205" max="9205" width="0.54296875" style="181" customWidth="1"/>
    <col min="9206" max="9206" width="9.453125" style="181" customWidth="1"/>
    <col min="9207" max="9207" width="14.453125" style="181" customWidth="1"/>
    <col min="9208" max="9460" width="9.1796875" style="181"/>
    <col min="9461" max="9461" width="0.54296875" style="181" customWidth="1"/>
    <col min="9462" max="9462" width="9.453125" style="181" customWidth="1"/>
    <col min="9463" max="9463" width="14.453125" style="181" customWidth="1"/>
    <col min="9464" max="9716" width="9.1796875" style="181"/>
    <col min="9717" max="9717" width="0.54296875" style="181" customWidth="1"/>
    <col min="9718" max="9718" width="9.453125" style="181" customWidth="1"/>
    <col min="9719" max="9719" width="14.453125" style="181" customWidth="1"/>
    <col min="9720" max="9972" width="9.1796875" style="181"/>
    <col min="9973" max="9973" width="0.54296875" style="181" customWidth="1"/>
    <col min="9974" max="9974" width="9.453125" style="181" customWidth="1"/>
    <col min="9975" max="9975" width="14.453125" style="181" customWidth="1"/>
    <col min="9976" max="10228" width="9.1796875" style="181"/>
    <col min="10229" max="10229" width="0.54296875" style="181" customWidth="1"/>
    <col min="10230" max="10230" width="9.453125" style="181" customWidth="1"/>
    <col min="10231" max="10231" width="14.453125" style="181" customWidth="1"/>
    <col min="10232" max="10484" width="9.1796875" style="181"/>
    <col min="10485" max="10485" width="0.54296875" style="181" customWidth="1"/>
    <col min="10486" max="10486" width="9.453125" style="181" customWidth="1"/>
    <col min="10487" max="10487" width="14.453125" style="181" customWidth="1"/>
    <col min="10488" max="10740" width="9.1796875" style="181"/>
    <col min="10741" max="10741" width="0.54296875" style="181" customWidth="1"/>
    <col min="10742" max="10742" width="9.453125" style="181" customWidth="1"/>
    <col min="10743" max="10743" width="14.453125" style="181" customWidth="1"/>
    <col min="10744" max="10996" width="9.1796875" style="181"/>
    <col min="10997" max="10997" width="0.54296875" style="181" customWidth="1"/>
    <col min="10998" max="10998" width="9.453125" style="181" customWidth="1"/>
    <col min="10999" max="10999" width="14.453125" style="181" customWidth="1"/>
    <col min="11000" max="11252" width="9.1796875" style="181"/>
    <col min="11253" max="11253" width="0.54296875" style="181" customWidth="1"/>
    <col min="11254" max="11254" width="9.453125" style="181" customWidth="1"/>
    <col min="11255" max="11255" width="14.453125" style="181" customWidth="1"/>
    <col min="11256" max="11508" width="9.1796875" style="181"/>
    <col min="11509" max="11509" width="0.54296875" style="181" customWidth="1"/>
    <col min="11510" max="11510" width="9.453125" style="181" customWidth="1"/>
    <col min="11511" max="11511" width="14.453125" style="181" customWidth="1"/>
    <col min="11512" max="11764" width="9.1796875" style="181"/>
    <col min="11765" max="11765" width="0.54296875" style="181" customWidth="1"/>
    <col min="11766" max="11766" width="9.453125" style="181" customWidth="1"/>
    <col min="11767" max="11767" width="14.453125" style="181" customWidth="1"/>
    <col min="11768" max="12020" width="9.1796875" style="181"/>
    <col min="12021" max="12021" width="0.54296875" style="181" customWidth="1"/>
    <col min="12022" max="12022" width="9.453125" style="181" customWidth="1"/>
    <col min="12023" max="12023" width="14.453125" style="181" customWidth="1"/>
    <col min="12024" max="12276" width="9.1796875" style="181"/>
    <col min="12277" max="12277" width="0.54296875" style="181" customWidth="1"/>
    <col min="12278" max="12278" width="9.453125" style="181" customWidth="1"/>
    <col min="12279" max="12279" width="14.453125" style="181" customWidth="1"/>
    <col min="12280" max="12532" width="9.1796875" style="181"/>
    <col min="12533" max="12533" width="0.54296875" style="181" customWidth="1"/>
    <col min="12534" max="12534" width="9.453125" style="181" customWidth="1"/>
    <col min="12535" max="12535" width="14.453125" style="181" customWidth="1"/>
    <col min="12536" max="12788" width="9.1796875" style="181"/>
    <col min="12789" max="12789" width="0.54296875" style="181" customWidth="1"/>
    <col min="12790" max="12790" width="9.453125" style="181" customWidth="1"/>
    <col min="12791" max="12791" width="14.453125" style="181" customWidth="1"/>
    <col min="12792" max="13044" width="9.1796875" style="181"/>
    <col min="13045" max="13045" width="0.54296875" style="181" customWidth="1"/>
    <col min="13046" max="13046" width="9.453125" style="181" customWidth="1"/>
    <col min="13047" max="13047" width="14.453125" style="181" customWidth="1"/>
    <col min="13048" max="13300" width="9.1796875" style="181"/>
    <col min="13301" max="13301" width="0.54296875" style="181" customWidth="1"/>
    <col min="13302" max="13302" width="9.453125" style="181" customWidth="1"/>
    <col min="13303" max="13303" width="14.453125" style="181" customWidth="1"/>
    <col min="13304" max="13556" width="9.1796875" style="181"/>
    <col min="13557" max="13557" width="0.54296875" style="181" customWidth="1"/>
    <col min="13558" max="13558" width="9.453125" style="181" customWidth="1"/>
    <col min="13559" max="13559" width="14.453125" style="181" customWidth="1"/>
    <col min="13560" max="13812" width="9.1796875" style="181"/>
    <col min="13813" max="13813" width="0.54296875" style="181" customWidth="1"/>
    <col min="13814" max="13814" width="9.453125" style="181" customWidth="1"/>
    <col min="13815" max="13815" width="14.453125" style="181" customWidth="1"/>
    <col min="13816" max="14068" width="9.1796875" style="181"/>
    <col min="14069" max="14069" width="0.54296875" style="181" customWidth="1"/>
    <col min="14070" max="14070" width="9.453125" style="181" customWidth="1"/>
    <col min="14071" max="14071" width="14.453125" style="181" customWidth="1"/>
    <col min="14072" max="14324" width="9.1796875" style="181"/>
    <col min="14325" max="14325" width="0.54296875" style="181" customWidth="1"/>
    <col min="14326" max="14326" width="9.453125" style="181" customWidth="1"/>
    <col min="14327" max="14327" width="14.453125" style="181" customWidth="1"/>
    <col min="14328" max="14580" width="9.1796875" style="181"/>
    <col min="14581" max="14581" width="0.54296875" style="181" customWidth="1"/>
    <col min="14582" max="14582" width="9.453125" style="181" customWidth="1"/>
    <col min="14583" max="14583" width="14.453125" style="181" customWidth="1"/>
    <col min="14584" max="14836" width="9.1796875" style="181"/>
    <col min="14837" max="14837" width="0.54296875" style="181" customWidth="1"/>
    <col min="14838" max="14838" width="9.453125" style="181" customWidth="1"/>
    <col min="14839" max="14839" width="14.453125" style="181" customWidth="1"/>
    <col min="14840" max="15092" width="9.1796875" style="181"/>
    <col min="15093" max="15093" width="0.54296875" style="181" customWidth="1"/>
    <col min="15094" max="15094" width="9.453125" style="181" customWidth="1"/>
    <col min="15095" max="15095" width="14.453125" style="181" customWidth="1"/>
    <col min="15096" max="15348" width="9.1796875" style="181"/>
    <col min="15349" max="15349" width="0.54296875" style="181" customWidth="1"/>
    <col min="15350" max="15350" width="9.453125" style="181" customWidth="1"/>
    <col min="15351" max="15351" width="14.453125" style="181" customWidth="1"/>
    <col min="15352" max="15604" width="9.1796875" style="181"/>
    <col min="15605" max="15605" width="0.54296875" style="181" customWidth="1"/>
    <col min="15606" max="15606" width="9.453125" style="181" customWidth="1"/>
    <col min="15607" max="15607" width="14.453125" style="181" customWidth="1"/>
    <col min="15608" max="15860" width="9.1796875" style="181"/>
    <col min="15861" max="15861" width="0.54296875" style="181" customWidth="1"/>
    <col min="15862" max="15862" width="9.453125" style="181" customWidth="1"/>
    <col min="15863" max="15863" width="14.453125" style="181" customWidth="1"/>
    <col min="15864" max="16116" width="9.1796875" style="181"/>
    <col min="16117" max="16117" width="0.54296875" style="181" customWidth="1"/>
    <col min="16118" max="16118" width="9.453125" style="181" customWidth="1"/>
    <col min="16119" max="16119" width="14.453125" style="181" customWidth="1"/>
    <col min="16120" max="16384" width="9.1796875" style="181"/>
  </cols>
  <sheetData>
    <row r="1" spans="1:3" ht="27" customHeight="1" x14ac:dyDescent="0.35">
      <c r="A1" s="471" t="s">
        <v>1416</v>
      </c>
      <c r="B1" s="472"/>
      <c r="C1" s="473"/>
    </row>
    <row r="3" spans="1:3" x14ac:dyDescent="0.35">
      <c r="A3" s="185" t="s">
        <v>1417</v>
      </c>
      <c r="B3" s="186"/>
    </row>
    <row r="5" spans="1:3" ht="32.25" customHeight="1" x14ac:dyDescent="0.35">
      <c r="A5" s="474" t="s">
        <v>1418</v>
      </c>
      <c r="B5" s="474"/>
      <c r="C5" s="474"/>
    </row>
    <row r="6" spans="1:3" x14ac:dyDescent="0.35">
      <c r="A6" s="187" t="s">
        <v>1419</v>
      </c>
    </row>
    <row r="8" spans="1:3" x14ac:dyDescent="0.35">
      <c r="A8" s="188" t="s">
        <v>1420</v>
      </c>
    </row>
    <row r="9" spans="1:3" x14ac:dyDescent="0.35">
      <c r="A9" s="187"/>
    </row>
    <row r="10" spans="1:3" ht="29" x14ac:dyDescent="0.35">
      <c r="A10" s="189" t="s">
        <v>1421</v>
      </c>
      <c r="B10" s="190" t="s">
        <v>1422</v>
      </c>
      <c r="C10" s="190" t="s">
        <v>1423</v>
      </c>
    </row>
    <row r="11" spans="1:3" ht="96.75" customHeight="1" x14ac:dyDescent="0.35">
      <c r="A11" s="189" t="s">
        <v>1424</v>
      </c>
      <c r="B11" s="190" t="s">
        <v>1425</v>
      </c>
      <c r="C11" s="190" t="s">
        <v>1426</v>
      </c>
    </row>
    <row r="12" spans="1:3" ht="29" x14ac:dyDescent="0.35">
      <c r="A12" s="189" t="s">
        <v>1427</v>
      </c>
      <c r="B12" s="190" t="s">
        <v>1428</v>
      </c>
      <c r="C12" s="190" t="s">
        <v>1429</v>
      </c>
    </row>
    <row r="13" spans="1:3" x14ac:dyDescent="0.35">
      <c r="A13" s="189" t="s">
        <v>1430</v>
      </c>
      <c r="B13" s="190" t="s">
        <v>1431</v>
      </c>
      <c r="C13" s="190" t="s">
        <v>1432</v>
      </c>
    </row>
    <row r="14" spans="1:3" ht="86.25" customHeight="1" x14ac:dyDescent="0.35">
      <c r="A14" s="189" t="s">
        <v>1433</v>
      </c>
      <c r="B14" s="190" t="s">
        <v>1434</v>
      </c>
      <c r="C14" s="190" t="s">
        <v>1435</v>
      </c>
    </row>
    <row r="15" spans="1:3" ht="29" x14ac:dyDescent="0.35">
      <c r="A15" s="189" t="s">
        <v>1436</v>
      </c>
      <c r="B15" s="190" t="s">
        <v>1437</v>
      </c>
      <c r="C15" s="190" t="s">
        <v>1438</v>
      </c>
    </row>
    <row r="16" spans="1:3" ht="72" customHeight="1" x14ac:dyDescent="0.35">
      <c r="A16" s="189" t="s">
        <v>1439</v>
      </c>
      <c r="B16" s="190" t="s">
        <v>1440</v>
      </c>
      <c r="C16" s="190" t="s">
        <v>1441</v>
      </c>
    </row>
    <row r="17" spans="1:3" ht="24.75" customHeight="1" x14ac:dyDescent="0.35">
      <c r="A17" s="189" t="s">
        <v>1442</v>
      </c>
      <c r="B17" s="190" t="s">
        <v>1443</v>
      </c>
      <c r="C17" s="190" t="s">
        <v>1444</v>
      </c>
    </row>
    <row r="18" spans="1:3" ht="29" x14ac:dyDescent="0.35">
      <c r="A18" s="189" t="s">
        <v>1445</v>
      </c>
      <c r="B18" s="190" t="s">
        <v>1446</v>
      </c>
      <c r="C18" s="190" t="s">
        <v>1447</v>
      </c>
    </row>
    <row r="19" spans="1:3" ht="29" x14ac:dyDescent="0.35">
      <c r="A19" s="189" t="s">
        <v>1448</v>
      </c>
      <c r="B19" s="190" t="s">
        <v>1449</v>
      </c>
      <c r="C19" s="190" t="s">
        <v>1450</v>
      </c>
    </row>
    <row r="20" spans="1:3" ht="27" customHeight="1" x14ac:dyDescent="0.35">
      <c r="A20" s="189" t="s">
        <v>1451</v>
      </c>
      <c r="B20" s="190" t="s">
        <v>1452</v>
      </c>
      <c r="C20" s="190" t="s">
        <v>1453</v>
      </c>
    </row>
  </sheetData>
  <mergeCells count="2">
    <mergeCell ref="A1:C1"/>
    <mergeCell ref="A5:C5"/>
  </mergeCells>
  <conditionalFormatting sqref="A1">
    <cfRule type="cellIs" dxfId="12" priority="1" stopIfTrue="1" operator="equal">
      <formula>""</formula>
    </cfRule>
  </conditionalFormatting>
  <pageMargins left="0.43307086614173229" right="0.23622047244094491" top="0.35433070866141736" bottom="0.35433070866141736"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A96E5-1501-4EB6-8D4A-8A28C8CAA4E2}">
  <sheetPr codeName="Sheet21">
    <tabColor rgb="FF0070C0"/>
  </sheetPr>
  <dimension ref="A1:R28"/>
  <sheetViews>
    <sheetView zoomScale="85" zoomScaleNormal="85" workbookViewId="0">
      <selection activeCell="A18" sqref="A18"/>
    </sheetView>
  </sheetViews>
  <sheetFormatPr defaultRowHeight="14.5" x14ac:dyDescent="0.35"/>
  <cols>
    <col min="1" max="1" width="26.1796875" style="181" bestFit="1" customWidth="1"/>
    <col min="2" max="2" width="48.54296875" style="181" customWidth="1"/>
    <col min="3" max="3" width="11" style="181" customWidth="1"/>
    <col min="4" max="4" width="11.453125" style="181" customWidth="1"/>
    <col min="5" max="5" width="27.54296875" style="181" customWidth="1"/>
    <col min="6" max="6" width="1.453125" style="181" customWidth="1"/>
    <col min="7" max="16" width="11" style="181" customWidth="1"/>
    <col min="17" max="239" width="9.1796875" style="181"/>
    <col min="240" max="240" width="0.54296875" style="181" customWidth="1"/>
    <col min="241" max="241" width="11.54296875" style="181" customWidth="1"/>
    <col min="242" max="242" width="3" style="181" customWidth="1"/>
    <col min="243" max="243" width="3.54296875" style="181" customWidth="1"/>
    <col min="244" max="244" width="12" style="181" customWidth="1"/>
    <col min="245" max="245" width="3.54296875" style="181" customWidth="1"/>
    <col min="246" max="246" width="3" style="181" bestFit="1" customWidth="1"/>
    <col min="247" max="495" width="9.1796875" style="181"/>
    <col min="496" max="496" width="0.54296875" style="181" customWidth="1"/>
    <col min="497" max="497" width="11.54296875" style="181" customWidth="1"/>
    <col min="498" max="498" width="3" style="181" customWidth="1"/>
    <col min="499" max="499" width="3.54296875" style="181" customWidth="1"/>
    <col min="500" max="500" width="12" style="181" customWidth="1"/>
    <col min="501" max="501" width="3.54296875" style="181" customWidth="1"/>
    <col min="502" max="502" width="3" style="181" bestFit="1" customWidth="1"/>
    <col min="503" max="751" width="9.1796875" style="181"/>
    <col min="752" max="752" width="0.54296875" style="181" customWidth="1"/>
    <col min="753" max="753" width="11.54296875" style="181" customWidth="1"/>
    <col min="754" max="754" width="3" style="181" customWidth="1"/>
    <col min="755" max="755" width="3.54296875" style="181" customWidth="1"/>
    <col min="756" max="756" width="12" style="181" customWidth="1"/>
    <col min="757" max="757" width="3.54296875" style="181" customWidth="1"/>
    <col min="758" max="758" width="3" style="181" bestFit="1" customWidth="1"/>
    <col min="759" max="1007" width="9.1796875" style="181"/>
    <col min="1008" max="1008" width="0.54296875" style="181" customWidth="1"/>
    <col min="1009" max="1009" width="11.54296875" style="181" customWidth="1"/>
    <col min="1010" max="1010" width="3" style="181" customWidth="1"/>
    <col min="1011" max="1011" width="3.54296875" style="181" customWidth="1"/>
    <col min="1012" max="1012" width="12" style="181" customWidth="1"/>
    <col min="1013" max="1013" width="3.54296875" style="181" customWidth="1"/>
    <col min="1014" max="1014" width="3" style="181" bestFit="1" customWidth="1"/>
    <col min="1015" max="1263" width="9.1796875" style="181"/>
    <col min="1264" max="1264" width="0.54296875" style="181" customWidth="1"/>
    <col min="1265" max="1265" width="11.54296875" style="181" customWidth="1"/>
    <col min="1266" max="1266" width="3" style="181" customWidth="1"/>
    <col min="1267" max="1267" width="3.54296875" style="181" customWidth="1"/>
    <col min="1268" max="1268" width="12" style="181" customWidth="1"/>
    <col min="1269" max="1269" width="3.54296875" style="181" customWidth="1"/>
    <col min="1270" max="1270" width="3" style="181" bestFit="1" customWidth="1"/>
    <col min="1271" max="1519" width="9.1796875" style="181"/>
    <col min="1520" max="1520" width="0.54296875" style="181" customWidth="1"/>
    <col min="1521" max="1521" width="11.54296875" style="181" customWidth="1"/>
    <col min="1522" max="1522" width="3" style="181" customWidth="1"/>
    <col min="1523" max="1523" width="3.54296875" style="181" customWidth="1"/>
    <col min="1524" max="1524" width="12" style="181" customWidth="1"/>
    <col min="1525" max="1525" width="3.54296875" style="181" customWidth="1"/>
    <col min="1526" max="1526" width="3" style="181" bestFit="1" customWidth="1"/>
    <col min="1527" max="1775" width="9.1796875" style="181"/>
    <col min="1776" max="1776" width="0.54296875" style="181" customWidth="1"/>
    <col min="1777" max="1777" width="11.54296875" style="181" customWidth="1"/>
    <col min="1778" max="1778" width="3" style="181" customWidth="1"/>
    <col min="1779" max="1779" width="3.54296875" style="181" customWidth="1"/>
    <col min="1780" max="1780" width="12" style="181" customWidth="1"/>
    <col min="1781" max="1781" width="3.54296875" style="181" customWidth="1"/>
    <col min="1782" max="1782" width="3" style="181" bestFit="1" customWidth="1"/>
    <col min="1783" max="2031" width="9.1796875" style="181"/>
    <col min="2032" max="2032" width="0.54296875" style="181" customWidth="1"/>
    <col min="2033" max="2033" width="11.54296875" style="181" customWidth="1"/>
    <col min="2034" max="2034" width="3" style="181" customWidth="1"/>
    <col min="2035" max="2035" width="3.54296875" style="181" customWidth="1"/>
    <col min="2036" max="2036" width="12" style="181" customWidth="1"/>
    <col min="2037" max="2037" width="3.54296875" style="181" customWidth="1"/>
    <col min="2038" max="2038" width="3" style="181" bestFit="1" customWidth="1"/>
    <col min="2039" max="2287" width="9.1796875" style="181"/>
    <col min="2288" max="2288" width="0.54296875" style="181" customWidth="1"/>
    <col min="2289" max="2289" width="11.54296875" style="181" customWidth="1"/>
    <col min="2290" max="2290" width="3" style="181" customWidth="1"/>
    <col min="2291" max="2291" width="3.54296875" style="181" customWidth="1"/>
    <col min="2292" max="2292" width="12" style="181" customWidth="1"/>
    <col min="2293" max="2293" width="3.54296875" style="181" customWidth="1"/>
    <col min="2294" max="2294" width="3" style="181" bestFit="1" customWidth="1"/>
    <col min="2295" max="2543" width="9.1796875" style="181"/>
    <col min="2544" max="2544" width="0.54296875" style="181" customWidth="1"/>
    <col min="2545" max="2545" width="11.54296875" style="181" customWidth="1"/>
    <col min="2546" max="2546" width="3" style="181" customWidth="1"/>
    <col min="2547" max="2547" width="3.54296875" style="181" customWidth="1"/>
    <col min="2548" max="2548" width="12" style="181" customWidth="1"/>
    <col min="2549" max="2549" width="3.54296875" style="181" customWidth="1"/>
    <col min="2550" max="2550" width="3" style="181" bestFit="1" customWidth="1"/>
    <col min="2551" max="2799" width="9.1796875" style="181"/>
    <col min="2800" max="2800" width="0.54296875" style="181" customWidth="1"/>
    <col min="2801" max="2801" width="11.54296875" style="181" customWidth="1"/>
    <col min="2802" max="2802" width="3" style="181" customWidth="1"/>
    <col min="2803" max="2803" width="3.54296875" style="181" customWidth="1"/>
    <col min="2804" max="2804" width="12" style="181" customWidth="1"/>
    <col min="2805" max="2805" width="3.54296875" style="181" customWidth="1"/>
    <col min="2806" max="2806" width="3" style="181" bestFit="1" customWidth="1"/>
    <col min="2807" max="3055" width="9.1796875" style="181"/>
    <col min="3056" max="3056" width="0.54296875" style="181" customWidth="1"/>
    <col min="3057" max="3057" width="11.54296875" style="181" customWidth="1"/>
    <col min="3058" max="3058" width="3" style="181" customWidth="1"/>
    <col min="3059" max="3059" width="3.54296875" style="181" customWidth="1"/>
    <col min="3060" max="3060" width="12" style="181" customWidth="1"/>
    <col min="3061" max="3061" width="3.54296875" style="181" customWidth="1"/>
    <col min="3062" max="3062" width="3" style="181" bestFit="1" customWidth="1"/>
    <col min="3063" max="3311" width="9.1796875" style="181"/>
    <col min="3312" max="3312" width="0.54296875" style="181" customWidth="1"/>
    <col min="3313" max="3313" width="11.54296875" style="181" customWidth="1"/>
    <col min="3314" max="3314" width="3" style="181" customWidth="1"/>
    <col min="3315" max="3315" width="3.54296875" style="181" customWidth="1"/>
    <col min="3316" max="3316" width="12" style="181" customWidth="1"/>
    <col min="3317" max="3317" width="3.54296875" style="181" customWidth="1"/>
    <col min="3318" max="3318" width="3" style="181" bestFit="1" customWidth="1"/>
    <col min="3319" max="3567" width="9.1796875" style="181"/>
    <col min="3568" max="3568" width="0.54296875" style="181" customWidth="1"/>
    <col min="3569" max="3569" width="11.54296875" style="181" customWidth="1"/>
    <col min="3570" max="3570" width="3" style="181" customWidth="1"/>
    <col min="3571" max="3571" width="3.54296875" style="181" customWidth="1"/>
    <col min="3572" max="3572" width="12" style="181" customWidth="1"/>
    <col min="3573" max="3573" width="3.54296875" style="181" customWidth="1"/>
    <col min="3574" max="3574" width="3" style="181" bestFit="1" customWidth="1"/>
    <col min="3575" max="3823" width="9.1796875" style="181"/>
    <col min="3824" max="3824" width="0.54296875" style="181" customWidth="1"/>
    <col min="3825" max="3825" width="11.54296875" style="181" customWidth="1"/>
    <col min="3826" max="3826" width="3" style="181" customWidth="1"/>
    <col min="3827" max="3827" width="3.54296875" style="181" customWidth="1"/>
    <col min="3828" max="3828" width="12" style="181" customWidth="1"/>
    <col min="3829" max="3829" width="3.54296875" style="181" customWidth="1"/>
    <col min="3830" max="3830" width="3" style="181" bestFit="1" customWidth="1"/>
    <col min="3831" max="4079" width="9.1796875" style="181"/>
    <col min="4080" max="4080" width="0.54296875" style="181" customWidth="1"/>
    <col min="4081" max="4081" width="11.54296875" style="181" customWidth="1"/>
    <col min="4082" max="4082" width="3" style="181" customWidth="1"/>
    <col min="4083" max="4083" width="3.54296875" style="181" customWidth="1"/>
    <col min="4084" max="4084" width="12" style="181" customWidth="1"/>
    <col min="4085" max="4085" width="3.54296875" style="181" customWidth="1"/>
    <col min="4086" max="4086" width="3" style="181" bestFit="1" customWidth="1"/>
    <col min="4087" max="4335" width="9.1796875" style="181"/>
    <col min="4336" max="4336" width="0.54296875" style="181" customWidth="1"/>
    <col min="4337" max="4337" width="11.54296875" style="181" customWidth="1"/>
    <col min="4338" max="4338" width="3" style="181" customWidth="1"/>
    <col min="4339" max="4339" width="3.54296875" style="181" customWidth="1"/>
    <col min="4340" max="4340" width="12" style="181" customWidth="1"/>
    <col min="4341" max="4341" width="3.54296875" style="181" customWidth="1"/>
    <col min="4342" max="4342" width="3" style="181" bestFit="1" customWidth="1"/>
    <col min="4343" max="4591" width="9.1796875" style="181"/>
    <col min="4592" max="4592" width="0.54296875" style="181" customWidth="1"/>
    <col min="4593" max="4593" width="11.54296875" style="181" customWidth="1"/>
    <col min="4594" max="4594" width="3" style="181" customWidth="1"/>
    <col min="4595" max="4595" width="3.54296875" style="181" customWidth="1"/>
    <col min="4596" max="4596" width="12" style="181" customWidth="1"/>
    <col min="4597" max="4597" width="3.54296875" style="181" customWidth="1"/>
    <col min="4598" max="4598" width="3" style="181" bestFit="1" customWidth="1"/>
    <col min="4599" max="4847" width="9.1796875" style="181"/>
    <col min="4848" max="4848" width="0.54296875" style="181" customWidth="1"/>
    <col min="4849" max="4849" width="11.54296875" style="181" customWidth="1"/>
    <col min="4850" max="4850" width="3" style="181" customWidth="1"/>
    <col min="4851" max="4851" width="3.54296875" style="181" customWidth="1"/>
    <col min="4852" max="4852" width="12" style="181" customWidth="1"/>
    <col min="4853" max="4853" width="3.54296875" style="181" customWidth="1"/>
    <col min="4854" max="4854" width="3" style="181" bestFit="1" customWidth="1"/>
    <col min="4855" max="5103" width="9.1796875" style="181"/>
    <col min="5104" max="5104" width="0.54296875" style="181" customWidth="1"/>
    <col min="5105" max="5105" width="11.54296875" style="181" customWidth="1"/>
    <col min="5106" max="5106" width="3" style="181" customWidth="1"/>
    <col min="5107" max="5107" width="3.54296875" style="181" customWidth="1"/>
    <col min="5108" max="5108" width="12" style="181" customWidth="1"/>
    <col min="5109" max="5109" width="3.54296875" style="181" customWidth="1"/>
    <col min="5110" max="5110" width="3" style="181" bestFit="1" customWidth="1"/>
    <col min="5111" max="5359" width="9.1796875" style="181"/>
    <col min="5360" max="5360" width="0.54296875" style="181" customWidth="1"/>
    <col min="5361" max="5361" width="11.54296875" style="181" customWidth="1"/>
    <col min="5362" max="5362" width="3" style="181" customWidth="1"/>
    <col min="5363" max="5363" width="3.54296875" style="181" customWidth="1"/>
    <col min="5364" max="5364" width="12" style="181" customWidth="1"/>
    <col min="5365" max="5365" width="3.54296875" style="181" customWidth="1"/>
    <col min="5366" max="5366" width="3" style="181" bestFit="1" customWidth="1"/>
    <col min="5367" max="5615" width="9.1796875" style="181"/>
    <col min="5616" max="5616" width="0.54296875" style="181" customWidth="1"/>
    <col min="5617" max="5617" width="11.54296875" style="181" customWidth="1"/>
    <col min="5618" max="5618" width="3" style="181" customWidth="1"/>
    <col min="5619" max="5619" width="3.54296875" style="181" customWidth="1"/>
    <col min="5620" max="5620" width="12" style="181" customWidth="1"/>
    <col min="5621" max="5621" width="3.54296875" style="181" customWidth="1"/>
    <col min="5622" max="5622" width="3" style="181" bestFit="1" customWidth="1"/>
    <col min="5623" max="5871" width="9.1796875" style="181"/>
    <col min="5872" max="5872" width="0.54296875" style="181" customWidth="1"/>
    <col min="5873" max="5873" width="11.54296875" style="181" customWidth="1"/>
    <col min="5874" max="5874" width="3" style="181" customWidth="1"/>
    <col min="5875" max="5875" width="3.54296875" style="181" customWidth="1"/>
    <col min="5876" max="5876" width="12" style="181" customWidth="1"/>
    <col min="5877" max="5877" width="3.54296875" style="181" customWidth="1"/>
    <col min="5878" max="5878" width="3" style="181" bestFit="1" customWidth="1"/>
    <col min="5879" max="6127" width="9.1796875" style="181"/>
    <col min="6128" max="6128" width="0.54296875" style="181" customWidth="1"/>
    <col min="6129" max="6129" width="11.54296875" style="181" customWidth="1"/>
    <col min="6130" max="6130" width="3" style="181" customWidth="1"/>
    <col min="6131" max="6131" width="3.54296875" style="181" customWidth="1"/>
    <col min="6132" max="6132" width="12" style="181" customWidth="1"/>
    <col min="6133" max="6133" width="3.54296875" style="181" customWidth="1"/>
    <col min="6134" max="6134" width="3" style="181" bestFit="1" customWidth="1"/>
    <col min="6135" max="6383" width="9.1796875" style="181"/>
    <col min="6384" max="6384" width="0.54296875" style="181" customWidth="1"/>
    <col min="6385" max="6385" width="11.54296875" style="181" customWidth="1"/>
    <col min="6386" max="6386" width="3" style="181" customWidth="1"/>
    <col min="6387" max="6387" width="3.54296875" style="181" customWidth="1"/>
    <col min="6388" max="6388" width="12" style="181" customWidth="1"/>
    <col min="6389" max="6389" width="3.54296875" style="181" customWidth="1"/>
    <col min="6390" max="6390" width="3" style="181" bestFit="1" customWidth="1"/>
    <col min="6391" max="6639" width="9.1796875" style="181"/>
    <col min="6640" max="6640" width="0.54296875" style="181" customWidth="1"/>
    <col min="6641" max="6641" width="11.54296875" style="181" customWidth="1"/>
    <col min="6642" max="6642" width="3" style="181" customWidth="1"/>
    <col min="6643" max="6643" width="3.54296875" style="181" customWidth="1"/>
    <col min="6644" max="6644" width="12" style="181" customWidth="1"/>
    <col min="6645" max="6645" width="3.54296875" style="181" customWidth="1"/>
    <col min="6646" max="6646" width="3" style="181" bestFit="1" customWidth="1"/>
    <col min="6647" max="6895" width="9.1796875" style="181"/>
    <col min="6896" max="6896" width="0.54296875" style="181" customWidth="1"/>
    <col min="6897" max="6897" width="11.54296875" style="181" customWidth="1"/>
    <col min="6898" max="6898" width="3" style="181" customWidth="1"/>
    <col min="6899" max="6899" width="3.54296875" style="181" customWidth="1"/>
    <col min="6900" max="6900" width="12" style="181" customWidth="1"/>
    <col min="6901" max="6901" width="3.54296875" style="181" customWidth="1"/>
    <col min="6902" max="6902" width="3" style="181" bestFit="1" customWidth="1"/>
    <col min="6903" max="7151" width="9.1796875" style="181"/>
    <col min="7152" max="7152" width="0.54296875" style="181" customWidth="1"/>
    <col min="7153" max="7153" width="11.54296875" style="181" customWidth="1"/>
    <col min="7154" max="7154" width="3" style="181" customWidth="1"/>
    <col min="7155" max="7155" width="3.54296875" style="181" customWidth="1"/>
    <col min="7156" max="7156" width="12" style="181" customWidth="1"/>
    <col min="7157" max="7157" width="3.54296875" style="181" customWidth="1"/>
    <col min="7158" max="7158" width="3" style="181" bestFit="1" customWidth="1"/>
    <col min="7159" max="7407" width="9.1796875" style="181"/>
    <col min="7408" max="7408" width="0.54296875" style="181" customWidth="1"/>
    <col min="7409" max="7409" width="11.54296875" style="181" customWidth="1"/>
    <col min="7410" max="7410" width="3" style="181" customWidth="1"/>
    <col min="7411" max="7411" width="3.54296875" style="181" customWidth="1"/>
    <col min="7412" max="7412" width="12" style="181" customWidth="1"/>
    <col min="7413" max="7413" width="3.54296875" style="181" customWidth="1"/>
    <col min="7414" max="7414" width="3" style="181" bestFit="1" customWidth="1"/>
    <col min="7415" max="7663" width="9.1796875" style="181"/>
    <col min="7664" max="7664" width="0.54296875" style="181" customWidth="1"/>
    <col min="7665" max="7665" width="11.54296875" style="181" customWidth="1"/>
    <col min="7666" max="7666" width="3" style="181" customWidth="1"/>
    <col min="7667" max="7667" width="3.54296875" style="181" customWidth="1"/>
    <col min="7668" max="7668" width="12" style="181" customWidth="1"/>
    <col min="7669" max="7669" width="3.54296875" style="181" customWidth="1"/>
    <col min="7670" max="7670" width="3" style="181" bestFit="1" customWidth="1"/>
    <col min="7671" max="7919" width="9.1796875" style="181"/>
    <col min="7920" max="7920" width="0.54296875" style="181" customWidth="1"/>
    <col min="7921" max="7921" width="11.54296875" style="181" customWidth="1"/>
    <col min="7922" max="7922" width="3" style="181" customWidth="1"/>
    <col min="7923" max="7923" width="3.54296875" style="181" customWidth="1"/>
    <col min="7924" max="7924" width="12" style="181" customWidth="1"/>
    <col min="7925" max="7925" width="3.54296875" style="181" customWidth="1"/>
    <col min="7926" max="7926" width="3" style="181" bestFit="1" customWidth="1"/>
    <col min="7927" max="8175" width="9.1796875" style="181"/>
    <col min="8176" max="8176" width="0.54296875" style="181" customWidth="1"/>
    <col min="8177" max="8177" width="11.54296875" style="181" customWidth="1"/>
    <col min="8178" max="8178" width="3" style="181" customWidth="1"/>
    <col min="8179" max="8179" width="3.54296875" style="181" customWidth="1"/>
    <col min="8180" max="8180" width="12" style="181" customWidth="1"/>
    <col min="8181" max="8181" width="3.54296875" style="181" customWidth="1"/>
    <col min="8182" max="8182" width="3" style="181" bestFit="1" customWidth="1"/>
    <col min="8183" max="8431" width="9.1796875" style="181"/>
    <col min="8432" max="8432" width="0.54296875" style="181" customWidth="1"/>
    <col min="8433" max="8433" width="11.54296875" style="181" customWidth="1"/>
    <col min="8434" max="8434" width="3" style="181" customWidth="1"/>
    <col min="8435" max="8435" width="3.54296875" style="181" customWidth="1"/>
    <col min="8436" max="8436" width="12" style="181" customWidth="1"/>
    <col min="8437" max="8437" width="3.54296875" style="181" customWidth="1"/>
    <col min="8438" max="8438" width="3" style="181" bestFit="1" customWidth="1"/>
    <col min="8439" max="8687" width="9.1796875" style="181"/>
    <col min="8688" max="8688" width="0.54296875" style="181" customWidth="1"/>
    <col min="8689" max="8689" width="11.54296875" style="181" customWidth="1"/>
    <col min="8690" max="8690" width="3" style="181" customWidth="1"/>
    <col min="8691" max="8691" width="3.54296875" style="181" customWidth="1"/>
    <col min="8692" max="8692" width="12" style="181" customWidth="1"/>
    <col min="8693" max="8693" width="3.54296875" style="181" customWidth="1"/>
    <col min="8694" max="8694" width="3" style="181" bestFit="1" customWidth="1"/>
    <col min="8695" max="8943" width="9.1796875" style="181"/>
    <col min="8944" max="8944" width="0.54296875" style="181" customWidth="1"/>
    <col min="8945" max="8945" width="11.54296875" style="181" customWidth="1"/>
    <col min="8946" max="8946" width="3" style="181" customWidth="1"/>
    <col min="8947" max="8947" width="3.54296875" style="181" customWidth="1"/>
    <col min="8948" max="8948" width="12" style="181" customWidth="1"/>
    <col min="8949" max="8949" width="3.54296875" style="181" customWidth="1"/>
    <col min="8950" max="8950" width="3" style="181" bestFit="1" customWidth="1"/>
    <col min="8951" max="9199" width="9.1796875" style="181"/>
    <col min="9200" max="9200" width="0.54296875" style="181" customWidth="1"/>
    <col min="9201" max="9201" width="11.54296875" style="181" customWidth="1"/>
    <col min="9202" max="9202" width="3" style="181" customWidth="1"/>
    <col min="9203" max="9203" width="3.54296875" style="181" customWidth="1"/>
    <col min="9204" max="9204" width="12" style="181" customWidth="1"/>
    <col min="9205" max="9205" width="3.54296875" style="181" customWidth="1"/>
    <col min="9206" max="9206" width="3" style="181" bestFit="1" customWidth="1"/>
    <col min="9207" max="9455" width="9.1796875" style="181"/>
    <col min="9456" max="9456" width="0.54296875" style="181" customWidth="1"/>
    <col min="9457" max="9457" width="11.54296875" style="181" customWidth="1"/>
    <col min="9458" max="9458" width="3" style="181" customWidth="1"/>
    <col min="9459" max="9459" width="3.54296875" style="181" customWidth="1"/>
    <col min="9460" max="9460" width="12" style="181" customWidth="1"/>
    <col min="9461" max="9461" width="3.54296875" style="181" customWidth="1"/>
    <col min="9462" max="9462" width="3" style="181" bestFit="1" customWidth="1"/>
    <col min="9463" max="9711" width="9.1796875" style="181"/>
    <col min="9712" max="9712" width="0.54296875" style="181" customWidth="1"/>
    <col min="9713" max="9713" width="11.54296875" style="181" customWidth="1"/>
    <col min="9714" max="9714" width="3" style="181" customWidth="1"/>
    <col min="9715" max="9715" width="3.54296875" style="181" customWidth="1"/>
    <col min="9716" max="9716" width="12" style="181" customWidth="1"/>
    <col min="9717" max="9717" width="3.54296875" style="181" customWidth="1"/>
    <col min="9718" max="9718" width="3" style="181" bestFit="1" customWidth="1"/>
    <col min="9719" max="9967" width="9.1796875" style="181"/>
    <col min="9968" max="9968" width="0.54296875" style="181" customWidth="1"/>
    <col min="9969" max="9969" width="11.54296875" style="181" customWidth="1"/>
    <col min="9970" max="9970" width="3" style="181" customWidth="1"/>
    <col min="9971" max="9971" width="3.54296875" style="181" customWidth="1"/>
    <col min="9972" max="9972" width="12" style="181" customWidth="1"/>
    <col min="9973" max="9973" width="3.54296875" style="181" customWidth="1"/>
    <col min="9974" max="9974" width="3" style="181" bestFit="1" customWidth="1"/>
    <col min="9975" max="10223" width="9.1796875" style="181"/>
    <col min="10224" max="10224" width="0.54296875" style="181" customWidth="1"/>
    <col min="10225" max="10225" width="11.54296875" style="181" customWidth="1"/>
    <col min="10226" max="10226" width="3" style="181" customWidth="1"/>
    <col min="10227" max="10227" width="3.54296875" style="181" customWidth="1"/>
    <col min="10228" max="10228" width="12" style="181" customWidth="1"/>
    <col min="10229" max="10229" width="3.54296875" style="181" customWidth="1"/>
    <col min="10230" max="10230" width="3" style="181" bestFit="1" customWidth="1"/>
    <col min="10231" max="10479" width="9.1796875" style="181"/>
    <col min="10480" max="10480" width="0.54296875" style="181" customWidth="1"/>
    <col min="10481" max="10481" width="11.54296875" style="181" customWidth="1"/>
    <col min="10482" max="10482" width="3" style="181" customWidth="1"/>
    <col min="10483" max="10483" width="3.54296875" style="181" customWidth="1"/>
    <col min="10484" max="10484" width="12" style="181" customWidth="1"/>
    <col min="10485" max="10485" width="3.54296875" style="181" customWidth="1"/>
    <col min="10486" max="10486" width="3" style="181" bestFit="1" customWidth="1"/>
    <col min="10487" max="10735" width="9.1796875" style="181"/>
    <col min="10736" max="10736" width="0.54296875" style="181" customWidth="1"/>
    <col min="10737" max="10737" width="11.54296875" style="181" customWidth="1"/>
    <col min="10738" max="10738" width="3" style="181" customWidth="1"/>
    <col min="10739" max="10739" width="3.54296875" style="181" customWidth="1"/>
    <col min="10740" max="10740" width="12" style="181" customWidth="1"/>
    <col min="10741" max="10741" width="3.54296875" style="181" customWidth="1"/>
    <col min="10742" max="10742" width="3" style="181" bestFit="1" customWidth="1"/>
    <col min="10743" max="10991" width="9.1796875" style="181"/>
    <col min="10992" max="10992" width="0.54296875" style="181" customWidth="1"/>
    <col min="10993" max="10993" width="11.54296875" style="181" customWidth="1"/>
    <col min="10994" max="10994" width="3" style="181" customWidth="1"/>
    <col min="10995" max="10995" width="3.54296875" style="181" customWidth="1"/>
    <col min="10996" max="10996" width="12" style="181" customWidth="1"/>
    <col min="10997" max="10997" width="3.54296875" style="181" customWidth="1"/>
    <col min="10998" max="10998" width="3" style="181" bestFit="1" customWidth="1"/>
    <col min="10999" max="11247" width="9.1796875" style="181"/>
    <col min="11248" max="11248" width="0.54296875" style="181" customWidth="1"/>
    <col min="11249" max="11249" width="11.54296875" style="181" customWidth="1"/>
    <col min="11250" max="11250" width="3" style="181" customWidth="1"/>
    <col min="11251" max="11251" width="3.54296875" style="181" customWidth="1"/>
    <col min="11252" max="11252" width="12" style="181" customWidth="1"/>
    <col min="11253" max="11253" width="3.54296875" style="181" customWidth="1"/>
    <col min="11254" max="11254" width="3" style="181" bestFit="1" customWidth="1"/>
    <col min="11255" max="11503" width="9.1796875" style="181"/>
    <col min="11504" max="11504" width="0.54296875" style="181" customWidth="1"/>
    <col min="11505" max="11505" width="11.54296875" style="181" customWidth="1"/>
    <col min="11506" max="11506" width="3" style="181" customWidth="1"/>
    <col min="11507" max="11507" width="3.54296875" style="181" customWidth="1"/>
    <col min="11508" max="11508" width="12" style="181" customWidth="1"/>
    <col min="11509" max="11509" width="3.54296875" style="181" customWidth="1"/>
    <col min="11510" max="11510" width="3" style="181" bestFit="1" customWidth="1"/>
    <col min="11511" max="11759" width="9.1796875" style="181"/>
    <col min="11760" max="11760" width="0.54296875" style="181" customWidth="1"/>
    <col min="11761" max="11761" width="11.54296875" style="181" customWidth="1"/>
    <col min="11762" max="11762" width="3" style="181" customWidth="1"/>
    <col min="11763" max="11763" width="3.54296875" style="181" customWidth="1"/>
    <col min="11764" max="11764" width="12" style="181" customWidth="1"/>
    <col min="11765" max="11765" width="3.54296875" style="181" customWidth="1"/>
    <col min="11766" max="11766" width="3" style="181" bestFit="1" customWidth="1"/>
    <col min="11767" max="12015" width="9.1796875" style="181"/>
    <col min="12016" max="12016" width="0.54296875" style="181" customWidth="1"/>
    <col min="12017" max="12017" width="11.54296875" style="181" customWidth="1"/>
    <col min="12018" max="12018" width="3" style="181" customWidth="1"/>
    <col min="12019" max="12019" width="3.54296875" style="181" customWidth="1"/>
    <col min="12020" max="12020" width="12" style="181" customWidth="1"/>
    <col min="12021" max="12021" width="3.54296875" style="181" customWidth="1"/>
    <col min="12022" max="12022" width="3" style="181" bestFit="1" customWidth="1"/>
    <col min="12023" max="12271" width="9.1796875" style="181"/>
    <col min="12272" max="12272" width="0.54296875" style="181" customWidth="1"/>
    <col min="12273" max="12273" width="11.54296875" style="181" customWidth="1"/>
    <col min="12274" max="12274" width="3" style="181" customWidth="1"/>
    <col min="12275" max="12275" width="3.54296875" style="181" customWidth="1"/>
    <col min="12276" max="12276" width="12" style="181" customWidth="1"/>
    <col min="12277" max="12277" width="3.54296875" style="181" customWidth="1"/>
    <col min="12278" max="12278" width="3" style="181" bestFit="1" customWidth="1"/>
    <col min="12279" max="12527" width="9.1796875" style="181"/>
    <col min="12528" max="12528" width="0.54296875" style="181" customWidth="1"/>
    <col min="12529" max="12529" width="11.54296875" style="181" customWidth="1"/>
    <col min="12530" max="12530" width="3" style="181" customWidth="1"/>
    <col min="12531" max="12531" width="3.54296875" style="181" customWidth="1"/>
    <col min="12532" max="12532" width="12" style="181" customWidth="1"/>
    <col min="12533" max="12533" width="3.54296875" style="181" customWidth="1"/>
    <col min="12534" max="12534" width="3" style="181" bestFit="1" customWidth="1"/>
    <col min="12535" max="12783" width="9.1796875" style="181"/>
    <col min="12784" max="12784" width="0.54296875" style="181" customWidth="1"/>
    <col min="12785" max="12785" width="11.54296875" style="181" customWidth="1"/>
    <col min="12786" max="12786" width="3" style="181" customWidth="1"/>
    <col min="12787" max="12787" width="3.54296875" style="181" customWidth="1"/>
    <col min="12788" max="12788" width="12" style="181" customWidth="1"/>
    <col min="12789" max="12789" width="3.54296875" style="181" customWidth="1"/>
    <col min="12790" max="12790" width="3" style="181" bestFit="1" customWidth="1"/>
    <col min="12791" max="13039" width="9.1796875" style="181"/>
    <col min="13040" max="13040" width="0.54296875" style="181" customWidth="1"/>
    <col min="13041" max="13041" width="11.54296875" style="181" customWidth="1"/>
    <col min="13042" max="13042" width="3" style="181" customWidth="1"/>
    <col min="13043" max="13043" width="3.54296875" style="181" customWidth="1"/>
    <col min="13044" max="13044" width="12" style="181" customWidth="1"/>
    <col min="13045" max="13045" width="3.54296875" style="181" customWidth="1"/>
    <col min="13046" max="13046" width="3" style="181" bestFit="1" customWidth="1"/>
    <col min="13047" max="13295" width="9.1796875" style="181"/>
    <col min="13296" max="13296" width="0.54296875" style="181" customWidth="1"/>
    <col min="13297" max="13297" width="11.54296875" style="181" customWidth="1"/>
    <col min="13298" max="13298" width="3" style="181" customWidth="1"/>
    <col min="13299" max="13299" width="3.54296875" style="181" customWidth="1"/>
    <col min="13300" max="13300" width="12" style="181" customWidth="1"/>
    <col min="13301" max="13301" width="3.54296875" style="181" customWidth="1"/>
    <col min="13302" max="13302" width="3" style="181" bestFit="1" customWidth="1"/>
    <col min="13303" max="13551" width="9.1796875" style="181"/>
    <col min="13552" max="13552" width="0.54296875" style="181" customWidth="1"/>
    <col min="13553" max="13553" width="11.54296875" style="181" customWidth="1"/>
    <col min="13554" max="13554" width="3" style="181" customWidth="1"/>
    <col min="13555" max="13555" width="3.54296875" style="181" customWidth="1"/>
    <col min="13556" max="13556" width="12" style="181" customWidth="1"/>
    <col min="13557" max="13557" width="3.54296875" style="181" customWidth="1"/>
    <col min="13558" max="13558" width="3" style="181" bestFit="1" customWidth="1"/>
    <col min="13559" max="13807" width="9.1796875" style="181"/>
    <col min="13808" max="13808" width="0.54296875" style="181" customWidth="1"/>
    <col min="13809" max="13809" width="11.54296875" style="181" customWidth="1"/>
    <col min="13810" max="13810" width="3" style="181" customWidth="1"/>
    <col min="13811" max="13811" width="3.54296875" style="181" customWidth="1"/>
    <col min="13812" max="13812" width="12" style="181" customWidth="1"/>
    <col min="13813" max="13813" width="3.54296875" style="181" customWidth="1"/>
    <col min="13814" max="13814" width="3" style="181" bestFit="1" customWidth="1"/>
    <col min="13815" max="14063" width="9.1796875" style="181"/>
    <col min="14064" max="14064" width="0.54296875" style="181" customWidth="1"/>
    <col min="14065" max="14065" width="11.54296875" style="181" customWidth="1"/>
    <col min="14066" max="14066" width="3" style="181" customWidth="1"/>
    <col min="14067" max="14067" width="3.54296875" style="181" customWidth="1"/>
    <col min="14068" max="14068" width="12" style="181" customWidth="1"/>
    <col min="14069" max="14069" width="3.54296875" style="181" customWidth="1"/>
    <col min="14070" max="14070" width="3" style="181" bestFit="1" customWidth="1"/>
    <col min="14071" max="14319" width="9.1796875" style="181"/>
    <col min="14320" max="14320" width="0.54296875" style="181" customWidth="1"/>
    <col min="14321" max="14321" width="11.54296875" style="181" customWidth="1"/>
    <col min="14322" max="14322" width="3" style="181" customWidth="1"/>
    <col min="14323" max="14323" width="3.54296875" style="181" customWidth="1"/>
    <col min="14324" max="14324" width="12" style="181" customWidth="1"/>
    <col min="14325" max="14325" width="3.54296875" style="181" customWidth="1"/>
    <col min="14326" max="14326" width="3" style="181" bestFit="1" customWidth="1"/>
    <col min="14327" max="14575" width="9.1796875" style="181"/>
    <col min="14576" max="14576" width="0.54296875" style="181" customWidth="1"/>
    <col min="14577" max="14577" width="11.54296875" style="181" customWidth="1"/>
    <col min="14578" max="14578" width="3" style="181" customWidth="1"/>
    <col min="14579" max="14579" width="3.54296875" style="181" customWidth="1"/>
    <col min="14580" max="14580" width="12" style="181" customWidth="1"/>
    <col min="14581" max="14581" width="3.54296875" style="181" customWidth="1"/>
    <col min="14582" max="14582" width="3" style="181" bestFit="1" customWidth="1"/>
    <col min="14583" max="14831" width="9.1796875" style="181"/>
    <col min="14832" max="14832" width="0.54296875" style="181" customWidth="1"/>
    <col min="14833" max="14833" width="11.54296875" style="181" customWidth="1"/>
    <col min="14834" max="14834" width="3" style="181" customWidth="1"/>
    <col min="14835" max="14835" width="3.54296875" style="181" customWidth="1"/>
    <col min="14836" max="14836" width="12" style="181" customWidth="1"/>
    <col min="14837" max="14837" width="3.54296875" style="181" customWidth="1"/>
    <col min="14838" max="14838" width="3" style="181" bestFit="1" customWidth="1"/>
    <col min="14839" max="15087" width="9.1796875" style="181"/>
    <col min="15088" max="15088" width="0.54296875" style="181" customWidth="1"/>
    <col min="15089" max="15089" width="11.54296875" style="181" customWidth="1"/>
    <col min="15090" max="15090" width="3" style="181" customWidth="1"/>
    <col min="15091" max="15091" width="3.54296875" style="181" customWidth="1"/>
    <col min="15092" max="15092" width="12" style="181" customWidth="1"/>
    <col min="15093" max="15093" width="3.54296875" style="181" customWidth="1"/>
    <col min="15094" max="15094" width="3" style="181" bestFit="1" customWidth="1"/>
    <col min="15095" max="15343" width="9.1796875" style="181"/>
    <col min="15344" max="15344" width="0.54296875" style="181" customWidth="1"/>
    <col min="15345" max="15345" width="11.54296875" style="181" customWidth="1"/>
    <col min="15346" max="15346" width="3" style="181" customWidth="1"/>
    <col min="15347" max="15347" width="3.54296875" style="181" customWidth="1"/>
    <col min="15348" max="15348" width="12" style="181" customWidth="1"/>
    <col min="15349" max="15349" width="3.54296875" style="181" customWidth="1"/>
    <col min="15350" max="15350" width="3" style="181" bestFit="1" customWidth="1"/>
    <col min="15351" max="15599" width="9.1796875" style="181"/>
    <col min="15600" max="15600" width="0.54296875" style="181" customWidth="1"/>
    <col min="15601" max="15601" width="11.54296875" style="181" customWidth="1"/>
    <col min="15602" max="15602" width="3" style="181" customWidth="1"/>
    <col min="15603" max="15603" width="3.54296875" style="181" customWidth="1"/>
    <col min="15604" max="15604" width="12" style="181" customWidth="1"/>
    <col min="15605" max="15605" width="3.54296875" style="181" customWidth="1"/>
    <col min="15606" max="15606" width="3" style="181" bestFit="1" customWidth="1"/>
    <col min="15607" max="15855" width="9.1796875" style="181"/>
    <col min="15856" max="15856" width="0.54296875" style="181" customWidth="1"/>
    <col min="15857" max="15857" width="11.54296875" style="181" customWidth="1"/>
    <col min="15858" max="15858" width="3" style="181" customWidth="1"/>
    <col min="15859" max="15859" width="3.54296875" style="181" customWidth="1"/>
    <col min="15860" max="15860" width="12" style="181" customWidth="1"/>
    <col min="15861" max="15861" width="3.54296875" style="181" customWidth="1"/>
    <col min="15862" max="15862" width="3" style="181" bestFit="1" customWidth="1"/>
    <col min="15863" max="16111" width="9.1796875" style="181"/>
    <col min="16112" max="16112" width="0.54296875" style="181" customWidth="1"/>
    <col min="16113" max="16113" width="11.54296875" style="181" customWidth="1"/>
    <col min="16114" max="16114" width="3" style="181" customWidth="1"/>
    <col min="16115" max="16115" width="3.54296875" style="181" customWidth="1"/>
    <col min="16116" max="16116" width="12" style="181" customWidth="1"/>
    <col min="16117" max="16117" width="3.54296875" style="181" customWidth="1"/>
    <col min="16118" max="16118" width="3" style="181" bestFit="1" customWidth="1"/>
    <col min="16119" max="16367" width="9.1796875" style="181"/>
    <col min="16368" max="16384" width="11" style="181" customWidth="1"/>
  </cols>
  <sheetData>
    <row r="1" spans="1:18" customFormat="1" ht="20" x14ac:dyDescent="0.25">
      <c r="A1" s="447" t="s">
        <v>1454</v>
      </c>
      <c r="B1" s="448"/>
      <c r="C1" s="184"/>
      <c r="D1" s="184"/>
      <c r="E1" s="184"/>
    </row>
    <row r="2" spans="1:18" customFormat="1" ht="13" x14ac:dyDescent="0.25">
      <c r="A2" s="20"/>
    </row>
    <row r="3" spans="1:18" customFormat="1" ht="13" x14ac:dyDescent="0.25">
      <c r="A3" s="22" t="s">
        <v>16</v>
      </c>
      <c r="B3" s="449" t="str">
        <f>Summary!C5</f>
        <v>Select School Name</v>
      </c>
      <c r="C3" s="449"/>
      <c r="D3" s="21" t="s">
        <v>1082</v>
      </c>
      <c r="E3" s="127" t="str">
        <f>Summary!C6</f>
        <v>-</v>
      </c>
    </row>
    <row r="4" spans="1:18" ht="15" thickBot="1" x14ac:dyDescent="0.4"/>
    <row r="5" spans="1:18" ht="15" thickBot="1" x14ac:dyDescent="0.4">
      <c r="A5" s="211"/>
      <c r="B5" s="212"/>
      <c r="C5" s="212" t="s">
        <v>1086</v>
      </c>
      <c r="D5" s="212"/>
      <c r="E5" s="213"/>
      <c r="G5" s="478" t="s">
        <v>1087</v>
      </c>
      <c r="H5" s="479"/>
      <c r="I5" s="478" t="s">
        <v>1088</v>
      </c>
      <c r="J5" s="479"/>
      <c r="K5" s="478" t="s">
        <v>1089</v>
      </c>
      <c r="L5" s="479"/>
      <c r="M5" s="478" t="s">
        <v>1090</v>
      </c>
      <c r="N5" s="479"/>
      <c r="O5" s="478" t="s">
        <v>1091</v>
      </c>
      <c r="P5" s="479"/>
    </row>
    <row r="6" spans="1:18" x14ac:dyDescent="0.35">
      <c r="A6" s="194"/>
      <c r="B6" s="195"/>
      <c r="C6" s="195"/>
      <c r="D6" s="196"/>
      <c r="E6" s="197"/>
      <c r="G6" s="201"/>
      <c r="H6" s="199"/>
      <c r="J6" s="199"/>
      <c r="L6" s="199"/>
      <c r="N6" s="199"/>
      <c r="P6" s="199"/>
    </row>
    <row r="7" spans="1:18" ht="15" thickBot="1" x14ac:dyDescent="0.4">
      <c r="A7" s="198"/>
      <c r="D7" s="199"/>
      <c r="E7" s="200"/>
      <c r="G7" s="201"/>
      <c r="H7" s="199"/>
      <c r="J7" s="199"/>
      <c r="L7" s="199"/>
      <c r="N7" s="199"/>
      <c r="P7" s="199"/>
    </row>
    <row r="8" spans="1:18" ht="15" thickBot="1" x14ac:dyDescent="0.4">
      <c r="A8" s="268" t="s">
        <v>1455</v>
      </c>
      <c r="C8" s="202" t="s">
        <v>1456</v>
      </c>
      <c r="E8" s="200"/>
      <c r="G8" s="475" t="s">
        <v>1268</v>
      </c>
      <c r="H8" s="476"/>
      <c r="I8" s="475" t="s">
        <v>1269</v>
      </c>
      <c r="J8" s="476"/>
      <c r="K8" s="475" t="s">
        <v>1270</v>
      </c>
      <c r="L8" s="476"/>
      <c r="M8" s="475" t="s">
        <v>1271</v>
      </c>
      <c r="N8" s="476"/>
      <c r="O8" s="477" t="s">
        <v>1270</v>
      </c>
      <c r="P8" s="476"/>
    </row>
    <row r="9" spans="1:18" ht="15" thickBot="1" x14ac:dyDescent="0.4">
      <c r="A9" s="268"/>
      <c r="C9" s="203"/>
      <c r="E9" s="200"/>
      <c r="G9" s="191"/>
      <c r="H9" s="204"/>
      <c r="I9" s="192"/>
      <c r="J9" s="204"/>
      <c r="K9" s="192"/>
      <c r="L9" s="204"/>
      <c r="M9" s="203"/>
      <c r="N9" s="204"/>
      <c r="O9" s="203"/>
      <c r="P9" s="204"/>
    </row>
    <row r="10" spans="1:18" ht="15" thickBot="1" x14ac:dyDescent="0.4">
      <c r="A10" s="269" t="s">
        <v>1421</v>
      </c>
      <c r="B10" s="181" t="s">
        <v>1422</v>
      </c>
      <c r="D10" s="214">
        <f>'PAN - NOR'!C26</f>
        <v>0</v>
      </c>
      <c r="E10" s="200"/>
      <c r="G10" s="201"/>
      <c r="H10" s="215">
        <f>'PAN - NOR'!D26</f>
        <v>0</v>
      </c>
      <c r="J10" s="215">
        <f>'PAN - NOR'!E26</f>
        <v>0</v>
      </c>
      <c r="L10" s="215" cm="1">
        <f t="array" ref="L10:L11">'PAN - NOR'!F26:F27</f>
        <v>0</v>
      </c>
      <c r="N10" s="215">
        <f>'PAN - NOR'!G26</f>
        <v>0</v>
      </c>
      <c r="P10" s="215">
        <f>'[2]Pupil Numbers '!G14</f>
        <v>0</v>
      </c>
      <c r="Q10" s="182"/>
    </row>
    <row r="11" spans="1:18" ht="15" thickBot="1" x14ac:dyDescent="0.4">
      <c r="A11" s="269" t="s">
        <v>1424</v>
      </c>
      <c r="B11" s="181" t="s">
        <v>1425</v>
      </c>
      <c r="C11" s="216">
        <f>Establishment!C7+Establishment!C8+Establishment!C9</f>
        <v>0</v>
      </c>
      <c r="D11" s="183"/>
      <c r="E11" s="200" t="s">
        <v>1457</v>
      </c>
      <c r="G11" s="217">
        <f>Establishment!D7+Establishment!D8+Establishment!D9</f>
        <v>0</v>
      </c>
      <c r="I11" s="217">
        <f>Establishment!E7+Establishment!E8+Establishment!E9</f>
        <v>0</v>
      </c>
      <c r="K11" s="218">
        <f>Establishment!F7+Establishment!F8+Establishment!F9</f>
        <v>0</v>
      </c>
      <c r="L11" s="193">
        <v>0</v>
      </c>
      <c r="M11" s="218">
        <f>Establishment!G7+Establishment!G8+Establishment!G9</f>
        <v>0</v>
      </c>
      <c r="N11" s="193"/>
      <c r="O11" s="205"/>
      <c r="Q11" s="182"/>
    </row>
    <row r="12" spans="1:18" ht="15" thickBot="1" x14ac:dyDescent="0.4">
      <c r="A12" s="269" t="s">
        <v>1427</v>
      </c>
      <c r="B12" s="181" t="s">
        <v>1428</v>
      </c>
      <c r="C12" s="227"/>
      <c r="D12" s="183"/>
      <c r="E12" s="200" t="s">
        <v>1457</v>
      </c>
      <c r="G12" s="228">
        <v>0</v>
      </c>
      <c r="I12" s="228">
        <v>0</v>
      </c>
      <c r="K12" s="229">
        <v>0</v>
      </c>
      <c r="L12" s="206"/>
      <c r="M12" s="229">
        <v>0</v>
      </c>
      <c r="N12" s="206"/>
      <c r="O12" s="230"/>
      <c r="Q12" s="182"/>
      <c r="R12" s="183"/>
    </row>
    <row r="13" spans="1:18" ht="15" thickBot="1" x14ac:dyDescent="0.4">
      <c r="A13" s="269" t="s">
        <v>1430</v>
      </c>
      <c r="B13" s="181" t="s">
        <v>1431</v>
      </c>
      <c r="C13" s="183"/>
      <c r="D13" s="219">
        <f>C11+C12</f>
        <v>0</v>
      </c>
      <c r="E13" s="200"/>
      <c r="G13" s="201"/>
      <c r="H13" s="220">
        <f>SUM(G11:G12)</f>
        <v>0</v>
      </c>
      <c r="J13" s="220">
        <f>SUM(I11:I12)</f>
        <v>0</v>
      </c>
      <c r="L13" s="220">
        <f>SUM(K11:K12)</f>
        <v>0</v>
      </c>
      <c r="N13" s="220">
        <f>SUM(M11:M12)</f>
        <v>0</v>
      </c>
      <c r="P13" s="220">
        <f>SUM(O11:O12)</f>
        <v>0</v>
      </c>
      <c r="Q13" s="182"/>
    </row>
    <row r="14" spans="1:18" ht="15" thickBot="1" x14ac:dyDescent="0.4">
      <c r="A14" s="269" t="s">
        <v>1433</v>
      </c>
      <c r="B14" s="181" t="s">
        <v>1434</v>
      </c>
      <c r="C14" s="183"/>
      <c r="D14" s="231"/>
      <c r="E14" s="200" t="s">
        <v>1458</v>
      </c>
      <c r="G14" s="201"/>
      <c r="H14" s="232"/>
      <c r="J14" s="232"/>
      <c r="L14" s="232"/>
      <c r="N14" s="232"/>
      <c r="P14" s="232"/>
      <c r="Q14" s="182"/>
    </row>
    <row r="15" spans="1:18" ht="15" thickBot="1" x14ac:dyDescent="0.4">
      <c r="A15" s="269" t="s">
        <v>1436</v>
      </c>
      <c r="B15" s="181" t="s">
        <v>1437</v>
      </c>
      <c r="C15" s="183"/>
      <c r="D15" s="231"/>
      <c r="E15" s="200"/>
      <c r="G15" s="201"/>
      <c r="H15" s="233"/>
      <c r="J15" s="233"/>
      <c r="L15" s="233"/>
      <c r="N15" s="233"/>
      <c r="P15" s="233"/>
      <c r="Q15" s="182"/>
    </row>
    <row r="16" spans="1:18" ht="15" thickBot="1" x14ac:dyDescent="0.4">
      <c r="A16" s="269" t="s">
        <v>1439</v>
      </c>
      <c r="B16" s="181" t="s">
        <v>1459</v>
      </c>
      <c r="C16" s="183"/>
      <c r="D16" s="231"/>
      <c r="E16" s="200" t="s">
        <v>1458</v>
      </c>
      <c r="G16" s="201"/>
      <c r="H16" s="233"/>
      <c r="J16" s="233"/>
      <c r="L16" s="233"/>
      <c r="N16" s="233"/>
      <c r="P16" s="233"/>
      <c r="Q16" s="182"/>
    </row>
    <row r="17" spans="1:16" ht="15" thickBot="1" x14ac:dyDescent="0.4">
      <c r="A17" s="269" t="s">
        <v>1442</v>
      </c>
      <c r="B17" s="181" t="s">
        <v>1460</v>
      </c>
      <c r="C17" s="221">
        <f>'Budget Plan'!D41</f>
        <v>0</v>
      </c>
      <c r="D17" s="183"/>
      <c r="E17" s="200" t="s">
        <v>1457</v>
      </c>
      <c r="G17" s="221">
        <f>'Budget Plan'!G41</f>
        <v>0</v>
      </c>
      <c r="H17" s="183"/>
      <c r="I17" s="221">
        <f>'Budget Plan'!H41</f>
        <v>0</v>
      </c>
      <c r="J17" s="183"/>
      <c r="K17" s="221">
        <f>'Budget Plan'!I41</f>
        <v>0</v>
      </c>
      <c r="L17" s="183"/>
      <c r="M17" s="221">
        <f>'Budget Plan'!J41</f>
        <v>0</v>
      </c>
      <c r="N17" s="183"/>
      <c r="O17" s="221">
        <f>'Budget Plan'!K41</f>
        <v>0</v>
      </c>
      <c r="P17" s="183"/>
    </row>
    <row r="18" spans="1:16" ht="15" thickBot="1" x14ac:dyDescent="0.4">
      <c r="A18" s="269" t="s">
        <v>1445</v>
      </c>
      <c r="B18" s="181" t="s">
        <v>1446</v>
      </c>
      <c r="C18" s="234">
        <f>'Budget Plan'!D42</f>
        <v>0</v>
      </c>
      <c r="D18" s="183"/>
      <c r="E18" s="200"/>
      <c r="G18" s="221">
        <f>'Budget Plan'!G42</f>
        <v>0</v>
      </c>
      <c r="H18" s="183"/>
      <c r="I18" s="221">
        <f>'Budget Plan'!H42</f>
        <v>0</v>
      </c>
      <c r="J18" s="183"/>
      <c r="K18" s="221">
        <f>'Budget Plan'!I42</f>
        <v>0</v>
      </c>
      <c r="L18" s="183"/>
      <c r="M18" s="221">
        <f>'Budget Plan'!J42</f>
        <v>0</v>
      </c>
      <c r="N18" s="183"/>
      <c r="O18" s="221">
        <f>'Budget Plan'!K42</f>
        <v>0</v>
      </c>
      <c r="P18" s="183"/>
    </row>
    <row r="19" spans="1:16" ht="15" thickBot="1" x14ac:dyDescent="0.4">
      <c r="A19" s="269" t="s">
        <v>1448</v>
      </c>
      <c r="B19" s="181" t="s">
        <v>1461</v>
      </c>
      <c r="C19" s="234">
        <f>'Budget Plan'!D66</f>
        <v>0</v>
      </c>
      <c r="D19" s="183"/>
      <c r="E19" s="200"/>
      <c r="G19" s="221">
        <f>'Budget Plan'!G66</f>
        <v>0</v>
      </c>
      <c r="H19" s="183"/>
      <c r="I19" s="221">
        <f>'Budget Plan'!H66</f>
        <v>0</v>
      </c>
      <c r="J19" s="183"/>
      <c r="K19" s="221">
        <f>'Budget Plan'!I66</f>
        <v>0</v>
      </c>
      <c r="L19" s="183"/>
      <c r="M19" s="221">
        <f>'Budget Plan'!J66</f>
        <v>0</v>
      </c>
      <c r="N19" s="183"/>
      <c r="O19" s="221">
        <f>'Budget Plan'!K66</f>
        <v>0</v>
      </c>
      <c r="P19" s="183"/>
    </row>
    <row r="20" spans="1:16" ht="15" thickBot="1" x14ac:dyDescent="0.4">
      <c r="A20" s="269" t="s">
        <v>1451</v>
      </c>
      <c r="B20" s="181" t="s">
        <v>1452</v>
      </c>
      <c r="C20" s="183"/>
      <c r="D20" s="222">
        <f>SUM(C17:C19)</f>
        <v>0</v>
      </c>
      <c r="E20" s="200"/>
      <c r="G20" s="207"/>
      <c r="H20" s="222">
        <f>SUM(G17:G19)</f>
        <v>0</v>
      </c>
      <c r="I20" s="183"/>
      <c r="J20" s="222">
        <f>SUM(I17:I19)</f>
        <v>0</v>
      </c>
      <c r="K20" s="183"/>
      <c r="L20" s="222">
        <f>SUM(K17:K19)</f>
        <v>0</v>
      </c>
      <c r="M20" s="183"/>
      <c r="N20" s="222">
        <f>SUM(M17:M19)</f>
        <v>0</v>
      </c>
      <c r="O20" s="183"/>
      <c r="P20" s="222">
        <f>SUM(O17:O19)</f>
        <v>0</v>
      </c>
    </row>
    <row r="21" spans="1:16" ht="9" customHeight="1" thickBot="1" x14ac:dyDescent="0.4">
      <c r="A21" s="201"/>
      <c r="C21" s="183"/>
      <c r="D21" s="183"/>
      <c r="E21" s="200"/>
      <c r="G21" s="207"/>
      <c r="H21" s="183"/>
      <c r="I21" s="183"/>
      <c r="J21" s="183"/>
      <c r="K21" s="183"/>
      <c r="L21" s="183"/>
      <c r="M21" s="183"/>
      <c r="N21" s="183"/>
      <c r="O21" s="183"/>
      <c r="P21" s="183"/>
    </row>
    <row r="22" spans="1:16" ht="15" thickBot="1" x14ac:dyDescent="0.4">
      <c r="A22" s="201"/>
      <c r="B22" s="187" t="s">
        <v>1462</v>
      </c>
      <c r="C22" s="183"/>
      <c r="D22" s="223" t="str">
        <f>IF(ISERROR(D10/D13),"-",ROUND(D10/D13,1))</f>
        <v>-</v>
      </c>
      <c r="E22" s="200"/>
      <c r="G22" s="207"/>
      <c r="H22" s="223" t="str">
        <f>IF(ISERROR(H10/H13),"-",ROUND(H10/H13,1))</f>
        <v>-</v>
      </c>
      <c r="I22" s="183"/>
      <c r="J22" s="223" t="str">
        <f>IF(ISERROR(J10/J13),"-",ROUND(J10/J13,1))</f>
        <v>-</v>
      </c>
      <c r="K22" s="183"/>
      <c r="L22" s="223" t="str">
        <f>IF(ISERROR(L10/L13),"-",ROUND(L10/L13,1))</f>
        <v>-</v>
      </c>
      <c r="M22" s="183"/>
      <c r="N22" s="223" t="str">
        <f>IF(ISERROR(N10/N13),"-",ROUND(N10/N13,1))</f>
        <v>-</v>
      </c>
      <c r="O22" s="183"/>
      <c r="P22" s="223" t="str">
        <f>IF(ISERROR(P10/P13),"-",ROUND(P10/P13,1))</f>
        <v>-</v>
      </c>
    </row>
    <row r="23" spans="1:16" ht="8.25" customHeight="1" thickBot="1" x14ac:dyDescent="0.4">
      <c r="A23" s="201"/>
      <c r="C23" s="183"/>
      <c r="D23" s="208"/>
      <c r="E23" s="200"/>
      <c r="G23" s="207"/>
      <c r="H23" s="208"/>
      <c r="I23" s="183"/>
      <c r="J23" s="208"/>
      <c r="K23" s="183"/>
      <c r="L23" s="208"/>
      <c r="M23" s="183"/>
      <c r="N23" s="208"/>
      <c r="O23" s="183"/>
      <c r="P23" s="208"/>
    </row>
    <row r="24" spans="1:16" ht="15" thickBot="1" x14ac:dyDescent="0.4">
      <c r="A24" s="201"/>
      <c r="B24" s="187" t="s">
        <v>1463</v>
      </c>
      <c r="C24" s="183"/>
      <c r="D24" s="224" t="str">
        <f>IF(ISERROR(D16/D15),"-",(D16/D15))</f>
        <v>-</v>
      </c>
      <c r="E24" s="210"/>
      <c r="G24" s="207"/>
      <c r="H24" s="224" t="str">
        <f>IF(ISERROR(H16/H15),"-",(H16/H15))</f>
        <v>-</v>
      </c>
      <c r="I24" s="183"/>
      <c r="J24" s="224" t="str">
        <f>IF(ISERROR(J16/J15),"-",(J16/J15))</f>
        <v>-</v>
      </c>
      <c r="K24" s="183"/>
      <c r="L24" s="224" t="str">
        <f>IF(ISERROR(L16/L15),"-",(L16/L15))</f>
        <v>-</v>
      </c>
      <c r="M24" s="183"/>
      <c r="N24" s="209" t="str">
        <f>IF(ISERROR(N16/N15),"-",(N16/N15))</f>
        <v>-</v>
      </c>
      <c r="O24" s="183"/>
      <c r="P24" s="224" t="str">
        <f>IF(ISERROR(P16/P15),"-",(P16/P15))</f>
        <v>-</v>
      </c>
    </row>
    <row r="25" spans="1:16" ht="6" customHeight="1" thickBot="1" x14ac:dyDescent="0.4">
      <c r="A25" s="201"/>
      <c r="C25" s="183"/>
      <c r="D25" s="208"/>
      <c r="E25" s="200"/>
      <c r="G25" s="207"/>
      <c r="H25" s="208"/>
      <c r="I25" s="183"/>
      <c r="J25" s="208"/>
      <c r="K25" s="183"/>
      <c r="L25" s="208"/>
      <c r="M25" s="183"/>
      <c r="N25" s="226"/>
      <c r="O25" s="183"/>
      <c r="P25" s="208"/>
    </row>
    <row r="26" spans="1:16" ht="15" thickBot="1" x14ac:dyDescent="0.4">
      <c r="A26" s="201"/>
      <c r="B26" s="187" t="s">
        <v>1464</v>
      </c>
      <c r="C26" s="183"/>
      <c r="D26" s="225" t="str">
        <f>IF(ISERROR((D20)/D13),"-",ROUND((D20)/D13,0))</f>
        <v>-</v>
      </c>
      <c r="E26" s="200"/>
      <c r="G26" s="207"/>
      <c r="H26" s="225" t="str">
        <f>IF(ISERROR((H20)/H13),"-",ROUND((H20)/H13,0))</f>
        <v>-</v>
      </c>
      <c r="I26" s="183"/>
      <c r="J26" s="225" t="str">
        <f>IF(ISERROR((J20)/J13),"-",ROUND((J20)/J13,0))</f>
        <v>-</v>
      </c>
      <c r="K26" s="183"/>
      <c r="L26" s="225" t="str">
        <f>IF(ISERROR((L20)/L13),"-",ROUND((L20)/L13,0))</f>
        <v>-</v>
      </c>
      <c r="M26" s="183"/>
      <c r="N26" s="225" t="str">
        <f>IF(ISERROR((N20)/N13),"-",ROUND((N20)/N13,0))</f>
        <v>-</v>
      </c>
      <c r="O26" s="183"/>
      <c r="P26" s="225" t="str">
        <f>IF(ISERROR((P20)/P13),"-",ROUND((P20)/P13,0))</f>
        <v>-</v>
      </c>
    </row>
    <row r="27" spans="1:16" ht="8.25" customHeight="1" thickBot="1" x14ac:dyDescent="0.4">
      <c r="A27" s="201"/>
      <c r="C27" s="183"/>
      <c r="D27" s="208"/>
      <c r="E27" s="200"/>
      <c r="G27" s="207"/>
      <c r="H27" s="208"/>
      <c r="I27" s="183"/>
      <c r="J27" s="208"/>
      <c r="K27" s="183"/>
      <c r="L27" s="208"/>
      <c r="M27" s="183"/>
      <c r="N27" s="226"/>
      <c r="O27" s="183"/>
      <c r="P27" s="208"/>
    </row>
    <row r="28" spans="1:16" ht="15" thickBot="1" x14ac:dyDescent="0.4">
      <c r="A28" s="201"/>
      <c r="B28" s="187" t="s">
        <v>1465</v>
      </c>
      <c r="C28" s="183"/>
      <c r="D28" s="225" t="str">
        <f>IF(ISERROR((D20)/D16),"-",ROUND((D20)/D16,0))</f>
        <v>-</v>
      </c>
      <c r="E28" s="200"/>
      <c r="G28" s="207"/>
      <c r="H28" s="225" t="str">
        <f>IF(ISERROR((H20)/H16),"-",ROUND((H20)/H16,0))</f>
        <v>-</v>
      </c>
      <c r="I28" s="183"/>
      <c r="J28" s="225" t="str">
        <f>IF(ISERROR((J20)/J16),"-",ROUND((J20)/J16,0))</f>
        <v>-</v>
      </c>
      <c r="K28" s="183"/>
      <c r="L28" s="225" t="str">
        <f>IF(ISERROR((L20)/L16),"-",ROUND((L20)/L16,0))</f>
        <v>-</v>
      </c>
      <c r="M28" s="183"/>
      <c r="N28" s="225" t="str">
        <f>IF(ISERROR((N20)/N16),"-",ROUND((N20)/N16,0))</f>
        <v>-</v>
      </c>
      <c r="O28" s="183"/>
      <c r="P28" s="225" t="str">
        <f>IF(ISERROR((P20)/P16),"-",ROUND((P20)/P16,0))</f>
        <v>-</v>
      </c>
    </row>
  </sheetData>
  <sheetProtection formatCells="0"/>
  <mergeCells count="12">
    <mergeCell ref="A1:B1"/>
    <mergeCell ref="B3:C3"/>
    <mergeCell ref="G5:H5"/>
    <mergeCell ref="I5:J5"/>
    <mergeCell ref="O5:P5"/>
    <mergeCell ref="K5:L5"/>
    <mergeCell ref="M5:N5"/>
    <mergeCell ref="G8:H8"/>
    <mergeCell ref="I8:J8"/>
    <mergeCell ref="K8:L8"/>
    <mergeCell ref="M8:N8"/>
    <mergeCell ref="O8:P8"/>
  </mergeCells>
  <conditionalFormatting sqref="C8">
    <cfRule type="cellIs" dxfId="11" priority="44" stopIfTrue="1" operator="equal">
      <formula>""</formula>
    </cfRule>
  </conditionalFormatting>
  <conditionalFormatting sqref="D10">
    <cfRule type="cellIs" dxfId="10" priority="45" stopIfTrue="1" operator="equal">
      <formula>""</formula>
    </cfRule>
  </conditionalFormatting>
  <conditionalFormatting sqref="D13">
    <cfRule type="cellIs" dxfId="9" priority="33" stopIfTrue="1" operator="equal">
      <formula>""</formula>
    </cfRule>
  </conditionalFormatting>
  <conditionalFormatting sqref="G5 I5 K5 M5">
    <cfRule type="cellIs" dxfId="8" priority="4" stopIfTrue="1" operator="equal">
      <formula>""</formula>
    </cfRule>
  </conditionalFormatting>
  <conditionalFormatting sqref="G8 I8 K8 M8">
    <cfRule type="cellIs" dxfId="7" priority="42" stopIfTrue="1" operator="equal">
      <formula>""</formula>
    </cfRule>
  </conditionalFormatting>
  <conditionalFormatting sqref="H10">
    <cfRule type="cellIs" dxfId="6" priority="43" stopIfTrue="1" operator="equal">
      <formula>""</formula>
    </cfRule>
  </conditionalFormatting>
  <conditionalFormatting sqref="J10">
    <cfRule type="cellIs" dxfId="5" priority="16" stopIfTrue="1" operator="equal">
      <formula>""</formula>
    </cfRule>
  </conditionalFormatting>
  <conditionalFormatting sqref="L10">
    <cfRule type="cellIs" dxfId="4" priority="24" stopIfTrue="1" operator="equal">
      <formula>""</formula>
    </cfRule>
  </conditionalFormatting>
  <conditionalFormatting sqref="N10">
    <cfRule type="cellIs" dxfId="3" priority="20" stopIfTrue="1" operator="equal">
      <formula>""</formula>
    </cfRule>
  </conditionalFormatting>
  <conditionalFormatting sqref="O5">
    <cfRule type="cellIs" dxfId="2" priority="1" stopIfTrue="1" operator="equal">
      <formula>""</formula>
    </cfRule>
  </conditionalFormatting>
  <conditionalFormatting sqref="O8">
    <cfRule type="cellIs" dxfId="1" priority="41" stopIfTrue="1" operator="equal">
      <formula>""</formula>
    </cfRule>
  </conditionalFormatting>
  <conditionalFormatting sqref="P10">
    <cfRule type="cellIs" dxfId="0" priority="28" stopIfTrue="1" operator="equal">
      <formula>""</formula>
    </cfRule>
  </conditionalFormatting>
  <dataValidations count="3">
    <dataValidation allowBlank="1" showInputMessage="1" showErrorMessage="1" prompt="This is from the teacher's perspective.  eg:_x000a_Head = 0 periods_x000a_Deputy = 10 periods_x000a_Head of yr/dept = 20 periods_x000a_Teacher A = 22 periods_x000a_Teacher B = 15 periods_x000a_TOTAL  = 67" sqref="D65415 II65415 SE65415 ACA65415 ALW65415 AVS65415 BFO65415 BPK65415 BZG65415 CJC65415 CSY65415 DCU65415 DMQ65415 DWM65415 EGI65415 EQE65415 FAA65415 FJW65415 FTS65415 GDO65415 GNK65415 GXG65415 HHC65415 HQY65415 IAU65415 IKQ65415 IUM65415 JEI65415 JOE65415 JYA65415 KHW65415 KRS65415 LBO65415 LLK65415 LVG65415 MFC65415 MOY65415 MYU65415 NIQ65415 NSM65415 OCI65415 OME65415 OWA65415 PFW65415 PPS65415 PZO65415 QJK65415 QTG65415 RDC65415 RMY65415 RWU65415 SGQ65415 SQM65415 TAI65415 TKE65415 TUA65415 UDW65415 UNS65415 UXO65415 VHK65415 VRG65415 WBC65415 WKY65415 WUU65415 D130951 II130951 SE130951 ACA130951 ALW130951 AVS130951 BFO130951 BPK130951 BZG130951 CJC130951 CSY130951 DCU130951 DMQ130951 DWM130951 EGI130951 EQE130951 FAA130951 FJW130951 FTS130951 GDO130951 GNK130951 GXG130951 HHC130951 HQY130951 IAU130951 IKQ130951 IUM130951 JEI130951 JOE130951 JYA130951 KHW130951 KRS130951 LBO130951 LLK130951 LVG130951 MFC130951 MOY130951 MYU130951 NIQ130951 NSM130951 OCI130951 OME130951 OWA130951 PFW130951 PPS130951 PZO130951 QJK130951 QTG130951 RDC130951 RMY130951 RWU130951 SGQ130951 SQM130951 TAI130951 TKE130951 TUA130951 UDW130951 UNS130951 UXO130951 VHK130951 VRG130951 WBC130951 WKY130951 WUU130951 D196487 II196487 SE196487 ACA196487 ALW196487 AVS196487 BFO196487 BPK196487 BZG196487 CJC196487 CSY196487 DCU196487 DMQ196487 DWM196487 EGI196487 EQE196487 FAA196487 FJW196487 FTS196487 GDO196487 GNK196487 GXG196487 HHC196487 HQY196487 IAU196487 IKQ196487 IUM196487 JEI196487 JOE196487 JYA196487 KHW196487 KRS196487 LBO196487 LLK196487 LVG196487 MFC196487 MOY196487 MYU196487 NIQ196487 NSM196487 OCI196487 OME196487 OWA196487 PFW196487 PPS196487 PZO196487 QJK196487 QTG196487 RDC196487 RMY196487 RWU196487 SGQ196487 SQM196487 TAI196487 TKE196487 TUA196487 UDW196487 UNS196487 UXO196487 VHK196487 VRG196487 WBC196487 WKY196487 WUU196487 D262023 II262023 SE262023 ACA262023 ALW262023 AVS262023 BFO262023 BPK262023 BZG262023 CJC262023 CSY262023 DCU262023 DMQ262023 DWM262023 EGI262023 EQE262023 FAA262023 FJW262023 FTS262023 GDO262023 GNK262023 GXG262023 HHC262023 HQY262023 IAU262023 IKQ262023 IUM262023 JEI262023 JOE262023 JYA262023 KHW262023 KRS262023 LBO262023 LLK262023 LVG262023 MFC262023 MOY262023 MYU262023 NIQ262023 NSM262023 OCI262023 OME262023 OWA262023 PFW262023 PPS262023 PZO262023 QJK262023 QTG262023 RDC262023 RMY262023 RWU262023 SGQ262023 SQM262023 TAI262023 TKE262023 TUA262023 UDW262023 UNS262023 UXO262023 VHK262023 VRG262023 WBC262023 WKY262023 WUU262023 D327559 II327559 SE327559 ACA327559 ALW327559 AVS327559 BFO327559 BPK327559 BZG327559 CJC327559 CSY327559 DCU327559 DMQ327559 DWM327559 EGI327559 EQE327559 FAA327559 FJW327559 FTS327559 GDO327559 GNK327559 GXG327559 HHC327559 HQY327559 IAU327559 IKQ327559 IUM327559 JEI327559 JOE327559 JYA327559 KHW327559 KRS327559 LBO327559 LLK327559 LVG327559 MFC327559 MOY327559 MYU327559 NIQ327559 NSM327559 OCI327559 OME327559 OWA327559 PFW327559 PPS327559 PZO327559 QJK327559 QTG327559 RDC327559 RMY327559 RWU327559 SGQ327559 SQM327559 TAI327559 TKE327559 TUA327559 UDW327559 UNS327559 UXO327559 VHK327559 VRG327559 WBC327559 WKY327559 WUU327559 D393095 II393095 SE393095 ACA393095 ALW393095 AVS393095 BFO393095 BPK393095 BZG393095 CJC393095 CSY393095 DCU393095 DMQ393095 DWM393095 EGI393095 EQE393095 FAA393095 FJW393095 FTS393095 GDO393095 GNK393095 GXG393095 HHC393095 HQY393095 IAU393095 IKQ393095 IUM393095 JEI393095 JOE393095 JYA393095 KHW393095 KRS393095 LBO393095 LLK393095 LVG393095 MFC393095 MOY393095 MYU393095 NIQ393095 NSM393095 OCI393095 OME393095 OWA393095 PFW393095 PPS393095 PZO393095 QJK393095 QTG393095 RDC393095 RMY393095 RWU393095 SGQ393095 SQM393095 TAI393095 TKE393095 TUA393095 UDW393095 UNS393095 UXO393095 VHK393095 VRG393095 WBC393095 WKY393095 WUU393095 D458631 II458631 SE458631 ACA458631 ALW458631 AVS458631 BFO458631 BPK458631 BZG458631 CJC458631 CSY458631 DCU458631 DMQ458631 DWM458631 EGI458631 EQE458631 FAA458631 FJW458631 FTS458631 GDO458631 GNK458631 GXG458631 HHC458631 HQY458631 IAU458631 IKQ458631 IUM458631 JEI458631 JOE458631 JYA458631 KHW458631 KRS458631 LBO458631 LLK458631 LVG458631 MFC458631 MOY458631 MYU458631 NIQ458631 NSM458631 OCI458631 OME458631 OWA458631 PFW458631 PPS458631 PZO458631 QJK458631 QTG458631 RDC458631 RMY458631 RWU458631 SGQ458631 SQM458631 TAI458631 TKE458631 TUA458631 UDW458631 UNS458631 UXO458631 VHK458631 VRG458631 WBC458631 WKY458631 WUU458631 D524167 II524167 SE524167 ACA524167 ALW524167 AVS524167 BFO524167 BPK524167 BZG524167 CJC524167 CSY524167 DCU524167 DMQ524167 DWM524167 EGI524167 EQE524167 FAA524167 FJW524167 FTS524167 GDO524167 GNK524167 GXG524167 HHC524167 HQY524167 IAU524167 IKQ524167 IUM524167 JEI524167 JOE524167 JYA524167 KHW524167 KRS524167 LBO524167 LLK524167 LVG524167 MFC524167 MOY524167 MYU524167 NIQ524167 NSM524167 OCI524167 OME524167 OWA524167 PFW524167 PPS524167 PZO524167 QJK524167 QTG524167 RDC524167 RMY524167 RWU524167 SGQ524167 SQM524167 TAI524167 TKE524167 TUA524167 UDW524167 UNS524167 UXO524167 VHK524167 VRG524167 WBC524167 WKY524167 WUU524167 D589703 II589703 SE589703 ACA589703 ALW589703 AVS589703 BFO589703 BPK589703 BZG589703 CJC589703 CSY589703 DCU589703 DMQ589703 DWM589703 EGI589703 EQE589703 FAA589703 FJW589703 FTS589703 GDO589703 GNK589703 GXG589703 HHC589703 HQY589703 IAU589703 IKQ589703 IUM589703 JEI589703 JOE589703 JYA589703 KHW589703 KRS589703 LBO589703 LLK589703 LVG589703 MFC589703 MOY589703 MYU589703 NIQ589703 NSM589703 OCI589703 OME589703 OWA589703 PFW589703 PPS589703 PZO589703 QJK589703 QTG589703 RDC589703 RMY589703 RWU589703 SGQ589703 SQM589703 TAI589703 TKE589703 TUA589703 UDW589703 UNS589703 UXO589703 VHK589703 VRG589703 WBC589703 WKY589703 WUU589703 D655239 II655239 SE655239 ACA655239 ALW655239 AVS655239 BFO655239 BPK655239 BZG655239 CJC655239 CSY655239 DCU655239 DMQ655239 DWM655239 EGI655239 EQE655239 FAA655239 FJW655239 FTS655239 GDO655239 GNK655239 GXG655239 HHC655239 HQY655239 IAU655239 IKQ655239 IUM655239 JEI655239 JOE655239 JYA655239 KHW655239 KRS655239 LBO655239 LLK655239 LVG655239 MFC655239 MOY655239 MYU655239 NIQ655239 NSM655239 OCI655239 OME655239 OWA655239 PFW655239 PPS655239 PZO655239 QJK655239 QTG655239 RDC655239 RMY655239 RWU655239 SGQ655239 SQM655239 TAI655239 TKE655239 TUA655239 UDW655239 UNS655239 UXO655239 VHK655239 VRG655239 WBC655239 WKY655239 WUU655239 D720775 II720775 SE720775 ACA720775 ALW720775 AVS720775 BFO720775 BPK720775 BZG720775 CJC720775 CSY720775 DCU720775 DMQ720775 DWM720775 EGI720775 EQE720775 FAA720775 FJW720775 FTS720775 GDO720775 GNK720775 GXG720775 HHC720775 HQY720775 IAU720775 IKQ720775 IUM720775 JEI720775 JOE720775 JYA720775 KHW720775 KRS720775 LBO720775 LLK720775 LVG720775 MFC720775 MOY720775 MYU720775 NIQ720775 NSM720775 OCI720775 OME720775 OWA720775 PFW720775 PPS720775 PZO720775 QJK720775 QTG720775 RDC720775 RMY720775 RWU720775 SGQ720775 SQM720775 TAI720775 TKE720775 TUA720775 UDW720775 UNS720775 UXO720775 VHK720775 VRG720775 WBC720775 WKY720775 WUU720775 D786311 II786311 SE786311 ACA786311 ALW786311 AVS786311 BFO786311 BPK786311 BZG786311 CJC786311 CSY786311 DCU786311 DMQ786311 DWM786311 EGI786311 EQE786311 FAA786311 FJW786311 FTS786311 GDO786311 GNK786311 GXG786311 HHC786311 HQY786311 IAU786311 IKQ786311 IUM786311 JEI786311 JOE786311 JYA786311 KHW786311 KRS786311 LBO786311 LLK786311 LVG786311 MFC786311 MOY786311 MYU786311 NIQ786311 NSM786311 OCI786311 OME786311 OWA786311 PFW786311 PPS786311 PZO786311 QJK786311 QTG786311 RDC786311 RMY786311 RWU786311 SGQ786311 SQM786311 TAI786311 TKE786311 TUA786311 UDW786311 UNS786311 UXO786311 VHK786311 VRG786311 WBC786311 WKY786311 WUU786311 D851847 II851847 SE851847 ACA851847 ALW851847 AVS851847 BFO851847 BPK851847 BZG851847 CJC851847 CSY851847 DCU851847 DMQ851847 DWM851847 EGI851847 EQE851847 FAA851847 FJW851847 FTS851847 GDO851847 GNK851847 GXG851847 HHC851847 HQY851847 IAU851847 IKQ851847 IUM851847 JEI851847 JOE851847 JYA851847 KHW851847 KRS851847 LBO851847 LLK851847 LVG851847 MFC851847 MOY851847 MYU851847 NIQ851847 NSM851847 OCI851847 OME851847 OWA851847 PFW851847 PPS851847 PZO851847 QJK851847 QTG851847 RDC851847 RMY851847 RWU851847 SGQ851847 SQM851847 TAI851847 TKE851847 TUA851847 UDW851847 UNS851847 UXO851847 VHK851847 VRG851847 WBC851847 WKY851847 WUU851847 D917383 II917383 SE917383 ACA917383 ALW917383 AVS917383 BFO917383 BPK917383 BZG917383 CJC917383 CSY917383 DCU917383 DMQ917383 DWM917383 EGI917383 EQE917383 FAA917383 FJW917383 FTS917383 GDO917383 GNK917383 GXG917383 HHC917383 HQY917383 IAU917383 IKQ917383 IUM917383 JEI917383 JOE917383 JYA917383 KHW917383 KRS917383 LBO917383 LLK917383 LVG917383 MFC917383 MOY917383 MYU917383 NIQ917383 NSM917383 OCI917383 OME917383 OWA917383 PFW917383 PPS917383 PZO917383 QJK917383 QTG917383 RDC917383 RMY917383 RWU917383 SGQ917383 SQM917383 TAI917383 TKE917383 TUA917383 UDW917383 UNS917383 UXO917383 VHK917383 VRG917383 WBC917383 WKY917383 WUU917383 D982919 II982919 SE982919 ACA982919 ALW982919 AVS982919 BFO982919 BPK982919 BZG982919 CJC982919 CSY982919 DCU982919 DMQ982919 DWM982919 EGI982919 EQE982919 FAA982919 FJW982919 FTS982919 GDO982919 GNK982919 GXG982919 HHC982919 HQY982919 IAU982919 IKQ982919 IUM982919 JEI982919 JOE982919 JYA982919 KHW982919 KRS982919 LBO982919 LLK982919 LVG982919 MFC982919 MOY982919 MYU982919 NIQ982919 NSM982919 OCI982919 OME982919 OWA982919 PFW982919 PPS982919 PZO982919 QJK982919 QTG982919 RDC982919 RMY982919 RWU982919 SGQ982919 SQM982919 TAI982919 TKE982919 TUA982919 UDW982919 UNS982919 UXO982919 VHK982919 VRG982919 WBC982919 WKY982919 WUU982919 H65415 N65415 H130951 N130951 H196487 N196487 H262023 N262023 H327559 N327559 H393095 N393095 H458631 N458631 H524167 N524167 H589703 N589703 H655239 N655239 H720775 N720775 H786311 N786311 H851847 N851847 H917383 N917383 H982919 N982919 P130951 P196487 P262023 P327559 P393095 P458631 P524167 P589703 P655239 P720775 P786311 P851847 P917383 P982919 J982919 L65415 L130951 L196487 L262023 L327559 L393095 L458631 L524167 L589703 L655239 L720775 L786311 L851847 L917383 L982919 J65415 J130951 J196487 J262023 J327559 J393095 J458631 J524167 J589703 J655239 J720775 J786311 J851847 J917383 P65415" xr:uid="{071A10F7-F391-493B-9F1B-D75261E4D853}"/>
    <dataValidation allowBlank="1" showInputMessage="1" showErrorMessage="1" prompt="The number of teaching periods in the week are from a pupil's perspective.  i.e. many schools have 25 teaching periods per week." sqref="D65413 II65413 SE65413 ACA65413 ALW65413 AVS65413 BFO65413 BPK65413 BZG65413 CJC65413 CSY65413 DCU65413 DMQ65413 DWM65413 EGI65413 EQE65413 FAA65413 FJW65413 FTS65413 GDO65413 GNK65413 GXG65413 HHC65413 HQY65413 IAU65413 IKQ65413 IUM65413 JEI65413 JOE65413 JYA65413 KHW65413 KRS65413 LBO65413 LLK65413 LVG65413 MFC65413 MOY65413 MYU65413 NIQ65413 NSM65413 OCI65413 OME65413 OWA65413 PFW65413 PPS65413 PZO65413 QJK65413 QTG65413 RDC65413 RMY65413 RWU65413 SGQ65413 SQM65413 TAI65413 TKE65413 TUA65413 UDW65413 UNS65413 UXO65413 VHK65413 VRG65413 WBC65413 WKY65413 WUU65413 D130949 II130949 SE130949 ACA130949 ALW130949 AVS130949 BFO130949 BPK130949 BZG130949 CJC130949 CSY130949 DCU130949 DMQ130949 DWM130949 EGI130949 EQE130949 FAA130949 FJW130949 FTS130949 GDO130949 GNK130949 GXG130949 HHC130949 HQY130949 IAU130949 IKQ130949 IUM130949 JEI130949 JOE130949 JYA130949 KHW130949 KRS130949 LBO130949 LLK130949 LVG130949 MFC130949 MOY130949 MYU130949 NIQ130949 NSM130949 OCI130949 OME130949 OWA130949 PFW130949 PPS130949 PZO130949 QJK130949 QTG130949 RDC130949 RMY130949 RWU130949 SGQ130949 SQM130949 TAI130949 TKE130949 TUA130949 UDW130949 UNS130949 UXO130949 VHK130949 VRG130949 WBC130949 WKY130949 WUU130949 D196485 II196485 SE196485 ACA196485 ALW196485 AVS196485 BFO196485 BPK196485 BZG196485 CJC196485 CSY196485 DCU196485 DMQ196485 DWM196485 EGI196485 EQE196485 FAA196485 FJW196485 FTS196485 GDO196485 GNK196485 GXG196485 HHC196485 HQY196485 IAU196485 IKQ196485 IUM196485 JEI196485 JOE196485 JYA196485 KHW196485 KRS196485 LBO196485 LLK196485 LVG196485 MFC196485 MOY196485 MYU196485 NIQ196485 NSM196485 OCI196485 OME196485 OWA196485 PFW196485 PPS196485 PZO196485 QJK196485 QTG196485 RDC196485 RMY196485 RWU196485 SGQ196485 SQM196485 TAI196485 TKE196485 TUA196485 UDW196485 UNS196485 UXO196485 VHK196485 VRG196485 WBC196485 WKY196485 WUU196485 D262021 II262021 SE262021 ACA262021 ALW262021 AVS262021 BFO262021 BPK262021 BZG262021 CJC262021 CSY262021 DCU262021 DMQ262021 DWM262021 EGI262021 EQE262021 FAA262021 FJW262021 FTS262021 GDO262021 GNK262021 GXG262021 HHC262021 HQY262021 IAU262021 IKQ262021 IUM262021 JEI262021 JOE262021 JYA262021 KHW262021 KRS262021 LBO262021 LLK262021 LVG262021 MFC262021 MOY262021 MYU262021 NIQ262021 NSM262021 OCI262021 OME262021 OWA262021 PFW262021 PPS262021 PZO262021 QJK262021 QTG262021 RDC262021 RMY262021 RWU262021 SGQ262021 SQM262021 TAI262021 TKE262021 TUA262021 UDW262021 UNS262021 UXO262021 VHK262021 VRG262021 WBC262021 WKY262021 WUU262021 D327557 II327557 SE327557 ACA327557 ALW327557 AVS327557 BFO327557 BPK327557 BZG327557 CJC327557 CSY327557 DCU327557 DMQ327557 DWM327557 EGI327557 EQE327557 FAA327557 FJW327557 FTS327557 GDO327557 GNK327557 GXG327557 HHC327557 HQY327557 IAU327557 IKQ327557 IUM327557 JEI327557 JOE327557 JYA327557 KHW327557 KRS327557 LBO327557 LLK327557 LVG327557 MFC327557 MOY327557 MYU327557 NIQ327557 NSM327557 OCI327557 OME327557 OWA327557 PFW327557 PPS327557 PZO327557 QJK327557 QTG327557 RDC327557 RMY327557 RWU327557 SGQ327557 SQM327557 TAI327557 TKE327557 TUA327557 UDW327557 UNS327557 UXO327557 VHK327557 VRG327557 WBC327557 WKY327557 WUU327557 D393093 II393093 SE393093 ACA393093 ALW393093 AVS393093 BFO393093 BPK393093 BZG393093 CJC393093 CSY393093 DCU393093 DMQ393093 DWM393093 EGI393093 EQE393093 FAA393093 FJW393093 FTS393093 GDO393093 GNK393093 GXG393093 HHC393093 HQY393093 IAU393093 IKQ393093 IUM393093 JEI393093 JOE393093 JYA393093 KHW393093 KRS393093 LBO393093 LLK393093 LVG393093 MFC393093 MOY393093 MYU393093 NIQ393093 NSM393093 OCI393093 OME393093 OWA393093 PFW393093 PPS393093 PZO393093 QJK393093 QTG393093 RDC393093 RMY393093 RWU393093 SGQ393093 SQM393093 TAI393093 TKE393093 TUA393093 UDW393093 UNS393093 UXO393093 VHK393093 VRG393093 WBC393093 WKY393093 WUU393093 D458629 II458629 SE458629 ACA458629 ALW458629 AVS458629 BFO458629 BPK458629 BZG458629 CJC458629 CSY458629 DCU458629 DMQ458629 DWM458629 EGI458629 EQE458629 FAA458629 FJW458629 FTS458629 GDO458629 GNK458629 GXG458629 HHC458629 HQY458629 IAU458629 IKQ458629 IUM458629 JEI458629 JOE458629 JYA458629 KHW458629 KRS458629 LBO458629 LLK458629 LVG458629 MFC458629 MOY458629 MYU458629 NIQ458629 NSM458629 OCI458629 OME458629 OWA458629 PFW458629 PPS458629 PZO458629 QJK458629 QTG458629 RDC458629 RMY458629 RWU458629 SGQ458629 SQM458629 TAI458629 TKE458629 TUA458629 UDW458629 UNS458629 UXO458629 VHK458629 VRG458629 WBC458629 WKY458629 WUU458629 D524165 II524165 SE524165 ACA524165 ALW524165 AVS524165 BFO524165 BPK524165 BZG524165 CJC524165 CSY524165 DCU524165 DMQ524165 DWM524165 EGI524165 EQE524165 FAA524165 FJW524165 FTS524165 GDO524165 GNK524165 GXG524165 HHC524165 HQY524165 IAU524165 IKQ524165 IUM524165 JEI524165 JOE524165 JYA524165 KHW524165 KRS524165 LBO524165 LLK524165 LVG524165 MFC524165 MOY524165 MYU524165 NIQ524165 NSM524165 OCI524165 OME524165 OWA524165 PFW524165 PPS524165 PZO524165 QJK524165 QTG524165 RDC524165 RMY524165 RWU524165 SGQ524165 SQM524165 TAI524165 TKE524165 TUA524165 UDW524165 UNS524165 UXO524165 VHK524165 VRG524165 WBC524165 WKY524165 WUU524165 D589701 II589701 SE589701 ACA589701 ALW589701 AVS589701 BFO589701 BPK589701 BZG589701 CJC589701 CSY589701 DCU589701 DMQ589701 DWM589701 EGI589701 EQE589701 FAA589701 FJW589701 FTS589701 GDO589701 GNK589701 GXG589701 HHC589701 HQY589701 IAU589701 IKQ589701 IUM589701 JEI589701 JOE589701 JYA589701 KHW589701 KRS589701 LBO589701 LLK589701 LVG589701 MFC589701 MOY589701 MYU589701 NIQ589701 NSM589701 OCI589701 OME589701 OWA589701 PFW589701 PPS589701 PZO589701 QJK589701 QTG589701 RDC589701 RMY589701 RWU589701 SGQ589701 SQM589701 TAI589701 TKE589701 TUA589701 UDW589701 UNS589701 UXO589701 VHK589701 VRG589701 WBC589701 WKY589701 WUU589701 D655237 II655237 SE655237 ACA655237 ALW655237 AVS655237 BFO655237 BPK655237 BZG655237 CJC655237 CSY655237 DCU655237 DMQ655237 DWM655237 EGI655237 EQE655237 FAA655237 FJW655237 FTS655237 GDO655237 GNK655237 GXG655237 HHC655237 HQY655237 IAU655237 IKQ655237 IUM655237 JEI655237 JOE655237 JYA655237 KHW655237 KRS655237 LBO655237 LLK655237 LVG655237 MFC655237 MOY655237 MYU655237 NIQ655237 NSM655237 OCI655237 OME655237 OWA655237 PFW655237 PPS655237 PZO655237 QJK655237 QTG655237 RDC655237 RMY655237 RWU655237 SGQ655237 SQM655237 TAI655237 TKE655237 TUA655237 UDW655237 UNS655237 UXO655237 VHK655237 VRG655237 WBC655237 WKY655237 WUU655237 D720773 II720773 SE720773 ACA720773 ALW720773 AVS720773 BFO720773 BPK720773 BZG720773 CJC720773 CSY720773 DCU720773 DMQ720773 DWM720773 EGI720773 EQE720773 FAA720773 FJW720773 FTS720773 GDO720773 GNK720773 GXG720773 HHC720773 HQY720773 IAU720773 IKQ720773 IUM720773 JEI720773 JOE720773 JYA720773 KHW720773 KRS720773 LBO720773 LLK720773 LVG720773 MFC720773 MOY720773 MYU720773 NIQ720773 NSM720773 OCI720773 OME720773 OWA720773 PFW720773 PPS720773 PZO720773 QJK720773 QTG720773 RDC720773 RMY720773 RWU720773 SGQ720773 SQM720773 TAI720773 TKE720773 TUA720773 UDW720773 UNS720773 UXO720773 VHK720773 VRG720773 WBC720773 WKY720773 WUU720773 D786309 II786309 SE786309 ACA786309 ALW786309 AVS786309 BFO786309 BPK786309 BZG786309 CJC786309 CSY786309 DCU786309 DMQ786309 DWM786309 EGI786309 EQE786309 FAA786309 FJW786309 FTS786309 GDO786309 GNK786309 GXG786309 HHC786309 HQY786309 IAU786309 IKQ786309 IUM786309 JEI786309 JOE786309 JYA786309 KHW786309 KRS786309 LBO786309 LLK786309 LVG786309 MFC786309 MOY786309 MYU786309 NIQ786309 NSM786309 OCI786309 OME786309 OWA786309 PFW786309 PPS786309 PZO786309 QJK786309 QTG786309 RDC786309 RMY786309 RWU786309 SGQ786309 SQM786309 TAI786309 TKE786309 TUA786309 UDW786309 UNS786309 UXO786309 VHK786309 VRG786309 WBC786309 WKY786309 WUU786309 D851845 II851845 SE851845 ACA851845 ALW851845 AVS851845 BFO851845 BPK851845 BZG851845 CJC851845 CSY851845 DCU851845 DMQ851845 DWM851845 EGI851845 EQE851845 FAA851845 FJW851845 FTS851845 GDO851845 GNK851845 GXG851845 HHC851845 HQY851845 IAU851845 IKQ851845 IUM851845 JEI851845 JOE851845 JYA851845 KHW851845 KRS851845 LBO851845 LLK851845 LVG851845 MFC851845 MOY851845 MYU851845 NIQ851845 NSM851845 OCI851845 OME851845 OWA851845 PFW851845 PPS851845 PZO851845 QJK851845 QTG851845 RDC851845 RMY851845 RWU851845 SGQ851845 SQM851845 TAI851845 TKE851845 TUA851845 UDW851845 UNS851845 UXO851845 VHK851845 VRG851845 WBC851845 WKY851845 WUU851845 D917381 II917381 SE917381 ACA917381 ALW917381 AVS917381 BFO917381 BPK917381 BZG917381 CJC917381 CSY917381 DCU917381 DMQ917381 DWM917381 EGI917381 EQE917381 FAA917381 FJW917381 FTS917381 GDO917381 GNK917381 GXG917381 HHC917381 HQY917381 IAU917381 IKQ917381 IUM917381 JEI917381 JOE917381 JYA917381 KHW917381 KRS917381 LBO917381 LLK917381 LVG917381 MFC917381 MOY917381 MYU917381 NIQ917381 NSM917381 OCI917381 OME917381 OWA917381 PFW917381 PPS917381 PZO917381 QJK917381 QTG917381 RDC917381 RMY917381 RWU917381 SGQ917381 SQM917381 TAI917381 TKE917381 TUA917381 UDW917381 UNS917381 UXO917381 VHK917381 VRG917381 WBC917381 WKY917381 WUU917381 D982917 II982917 SE982917 ACA982917 ALW982917 AVS982917 BFO982917 BPK982917 BZG982917 CJC982917 CSY982917 DCU982917 DMQ982917 DWM982917 EGI982917 EQE982917 FAA982917 FJW982917 FTS982917 GDO982917 GNK982917 GXG982917 HHC982917 HQY982917 IAU982917 IKQ982917 IUM982917 JEI982917 JOE982917 JYA982917 KHW982917 KRS982917 LBO982917 LLK982917 LVG982917 MFC982917 MOY982917 MYU982917 NIQ982917 NSM982917 OCI982917 OME982917 OWA982917 PFW982917 PPS982917 PZO982917 QJK982917 QTG982917 RDC982917 RMY982917 RWU982917 SGQ982917 SQM982917 TAI982917 TKE982917 TUA982917 UDW982917 UNS982917 UXO982917 VHK982917 VRG982917 WBC982917 WKY982917 WUU982917 H65413 N65413 H130949 N130949 H196485 N196485 H262021 N262021 H327557 N327557 H393093 N393093 H458629 N458629 H524165 N524165 H589701 N589701 H655237 N655237 H720773 N720773 H786309 N786309 H851845 N851845 H917381 N917381 H982917 N982917 P130949 P196485 P262021 P327557 P393093 P458629 P524165 P589701 P655237 P720773 P786309 P851845 P917381 P982917 J982917 L65413 L130949 L196485 L262021 L327557 L393093 L458629 L524165 L589701 L655237 L720773 L786309 L851845 L917381 L982917 J65413 J130949 J196485 J262021 J327557 J393093 J458629 J524165 J589701 J655237 J720773 J786309 J851845 J917381 P65413" xr:uid="{680D3AF2-0FC1-4B1C-A642-C7CB4FC40F08}"/>
    <dataValidation allowBlank="1" showInputMessage="1" showErrorMessage="1" prompt="This figure should be the total budget for the relevant period, making an adjustment for long-term sick cover or maternity cover." sqref="C65416 IH65416 SD65416 ABZ65416 ALV65416 AVR65416 BFN65416 BPJ65416 BZF65416 CJB65416 CSX65416 DCT65416 DMP65416 DWL65416 EGH65416 EQD65416 EZZ65416 FJV65416 FTR65416 GDN65416 GNJ65416 GXF65416 HHB65416 HQX65416 IAT65416 IKP65416 IUL65416 JEH65416 JOD65416 JXZ65416 KHV65416 KRR65416 LBN65416 LLJ65416 LVF65416 MFB65416 MOX65416 MYT65416 NIP65416 NSL65416 OCH65416 OMD65416 OVZ65416 PFV65416 PPR65416 PZN65416 QJJ65416 QTF65416 RDB65416 RMX65416 RWT65416 SGP65416 SQL65416 TAH65416 TKD65416 TTZ65416 UDV65416 UNR65416 UXN65416 VHJ65416 VRF65416 WBB65416 WKX65416 WUT65416 C130952 IH130952 SD130952 ABZ130952 ALV130952 AVR130952 BFN130952 BPJ130952 BZF130952 CJB130952 CSX130952 DCT130952 DMP130952 DWL130952 EGH130952 EQD130952 EZZ130952 FJV130952 FTR130952 GDN130952 GNJ130952 GXF130952 HHB130952 HQX130952 IAT130952 IKP130952 IUL130952 JEH130952 JOD130952 JXZ130952 KHV130952 KRR130952 LBN130952 LLJ130952 LVF130952 MFB130952 MOX130952 MYT130952 NIP130952 NSL130952 OCH130952 OMD130952 OVZ130952 PFV130952 PPR130952 PZN130952 QJJ130952 QTF130952 RDB130952 RMX130952 RWT130952 SGP130952 SQL130952 TAH130952 TKD130952 TTZ130952 UDV130952 UNR130952 UXN130952 VHJ130952 VRF130952 WBB130952 WKX130952 WUT130952 C196488 IH196488 SD196488 ABZ196488 ALV196488 AVR196488 BFN196488 BPJ196488 BZF196488 CJB196488 CSX196488 DCT196488 DMP196488 DWL196488 EGH196488 EQD196488 EZZ196488 FJV196488 FTR196488 GDN196488 GNJ196488 GXF196488 HHB196488 HQX196488 IAT196488 IKP196488 IUL196488 JEH196488 JOD196488 JXZ196488 KHV196488 KRR196488 LBN196488 LLJ196488 LVF196488 MFB196488 MOX196488 MYT196488 NIP196488 NSL196488 OCH196488 OMD196488 OVZ196488 PFV196488 PPR196488 PZN196488 QJJ196488 QTF196488 RDB196488 RMX196488 RWT196488 SGP196488 SQL196488 TAH196488 TKD196488 TTZ196488 UDV196488 UNR196488 UXN196488 VHJ196488 VRF196488 WBB196488 WKX196488 WUT196488 C262024 IH262024 SD262024 ABZ262024 ALV262024 AVR262024 BFN262024 BPJ262024 BZF262024 CJB262024 CSX262024 DCT262024 DMP262024 DWL262024 EGH262024 EQD262024 EZZ262024 FJV262024 FTR262024 GDN262024 GNJ262024 GXF262024 HHB262024 HQX262024 IAT262024 IKP262024 IUL262024 JEH262024 JOD262024 JXZ262024 KHV262024 KRR262024 LBN262024 LLJ262024 LVF262024 MFB262024 MOX262024 MYT262024 NIP262024 NSL262024 OCH262024 OMD262024 OVZ262024 PFV262024 PPR262024 PZN262024 QJJ262024 QTF262024 RDB262024 RMX262024 RWT262024 SGP262024 SQL262024 TAH262024 TKD262024 TTZ262024 UDV262024 UNR262024 UXN262024 VHJ262024 VRF262024 WBB262024 WKX262024 WUT262024 C327560 IH327560 SD327560 ABZ327560 ALV327560 AVR327560 BFN327560 BPJ327560 BZF327560 CJB327560 CSX327560 DCT327560 DMP327560 DWL327560 EGH327560 EQD327560 EZZ327560 FJV327560 FTR327560 GDN327560 GNJ327560 GXF327560 HHB327560 HQX327560 IAT327560 IKP327560 IUL327560 JEH327560 JOD327560 JXZ327560 KHV327560 KRR327560 LBN327560 LLJ327560 LVF327560 MFB327560 MOX327560 MYT327560 NIP327560 NSL327560 OCH327560 OMD327560 OVZ327560 PFV327560 PPR327560 PZN327560 QJJ327560 QTF327560 RDB327560 RMX327560 RWT327560 SGP327560 SQL327560 TAH327560 TKD327560 TTZ327560 UDV327560 UNR327560 UXN327560 VHJ327560 VRF327560 WBB327560 WKX327560 WUT327560 C393096 IH393096 SD393096 ABZ393096 ALV393096 AVR393096 BFN393096 BPJ393096 BZF393096 CJB393096 CSX393096 DCT393096 DMP393096 DWL393096 EGH393096 EQD393096 EZZ393096 FJV393096 FTR393096 GDN393096 GNJ393096 GXF393096 HHB393096 HQX393096 IAT393096 IKP393096 IUL393096 JEH393096 JOD393096 JXZ393096 KHV393096 KRR393096 LBN393096 LLJ393096 LVF393096 MFB393096 MOX393096 MYT393096 NIP393096 NSL393096 OCH393096 OMD393096 OVZ393096 PFV393096 PPR393096 PZN393096 QJJ393096 QTF393096 RDB393096 RMX393096 RWT393096 SGP393096 SQL393096 TAH393096 TKD393096 TTZ393096 UDV393096 UNR393096 UXN393096 VHJ393096 VRF393096 WBB393096 WKX393096 WUT393096 C458632 IH458632 SD458632 ABZ458632 ALV458632 AVR458632 BFN458632 BPJ458632 BZF458632 CJB458632 CSX458632 DCT458632 DMP458632 DWL458632 EGH458632 EQD458632 EZZ458632 FJV458632 FTR458632 GDN458632 GNJ458632 GXF458632 HHB458632 HQX458632 IAT458632 IKP458632 IUL458632 JEH458632 JOD458632 JXZ458632 KHV458632 KRR458632 LBN458632 LLJ458632 LVF458632 MFB458632 MOX458632 MYT458632 NIP458632 NSL458632 OCH458632 OMD458632 OVZ458632 PFV458632 PPR458632 PZN458632 QJJ458632 QTF458632 RDB458632 RMX458632 RWT458632 SGP458632 SQL458632 TAH458632 TKD458632 TTZ458632 UDV458632 UNR458632 UXN458632 VHJ458632 VRF458632 WBB458632 WKX458632 WUT458632 C524168 IH524168 SD524168 ABZ524168 ALV524168 AVR524168 BFN524168 BPJ524168 BZF524168 CJB524168 CSX524168 DCT524168 DMP524168 DWL524168 EGH524168 EQD524168 EZZ524168 FJV524168 FTR524168 GDN524168 GNJ524168 GXF524168 HHB524168 HQX524168 IAT524168 IKP524168 IUL524168 JEH524168 JOD524168 JXZ524168 KHV524168 KRR524168 LBN524168 LLJ524168 LVF524168 MFB524168 MOX524168 MYT524168 NIP524168 NSL524168 OCH524168 OMD524168 OVZ524168 PFV524168 PPR524168 PZN524168 QJJ524168 QTF524168 RDB524168 RMX524168 RWT524168 SGP524168 SQL524168 TAH524168 TKD524168 TTZ524168 UDV524168 UNR524168 UXN524168 VHJ524168 VRF524168 WBB524168 WKX524168 WUT524168 C589704 IH589704 SD589704 ABZ589704 ALV589704 AVR589704 BFN589704 BPJ589704 BZF589704 CJB589704 CSX589704 DCT589704 DMP589704 DWL589704 EGH589704 EQD589704 EZZ589704 FJV589704 FTR589704 GDN589704 GNJ589704 GXF589704 HHB589704 HQX589704 IAT589704 IKP589704 IUL589704 JEH589704 JOD589704 JXZ589704 KHV589704 KRR589704 LBN589704 LLJ589704 LVF589704 MFB589704 MOX589704 MYT589704 NIP589704 NSL589704 OCH589704 OMD589704 OVZ589704 PFV589704 PPR589704 PZN589704 QJJ589704 QTF589704 RDB589704 RMX589704 RWT589704 SGP589704 SQL589704 TAH589704 TKD589704 TTZ589704 UDV589704 UNR589704 UXN589704 VHJ589704 VRF589704 WBB589704 WKX589704 WUT589704 C655240 IH655240 SD655240 ABZ655240 ALV655240 AVR655240 BFN655240 BPJ655240 BZF655240 CJB655240 CSX655240 DCT655240 DMP655240 DWL655240 EGH655240 EQD655240 EZZ655240 FJV655240 FTR655240 GDN655240 GNJ655240 GXF655240 HHB655240 HQX655240 IAT655240 IKP655240 IUL655240 JEH655240 JOD655240 JXZ655240 KHV655240 KRR655240 LBN655240 LLJ655240 LVF655240 MFB655240 MOX655240 MYT655240 NIP655240 NSL655240 OCH655240 OMD655240 OVZ655240 PFV655240 PPR655240 PZN655240 QJJ655240 QTF655240 RDB655240 RMX655240 RWT655240 SGP655240 SQL655240 TAH655240 TKD655240 TTZ655240 UDV655240 UNR655240 UXN655240 VHJ655240 VRF655240 WBB655240 WKX655240 WUT655240 C720776 IH720776 SD720776 ABZ720776 ALV720776 AVR720776 BFN720776 BPJ720776 BZF720776 CJB720776 CSX720776 DCT720776 DMP720776 DWL720776 EGH720776 EQD720776 EZZ720776 FJV720776 FTR720776 GDN720776 GNJ720776 GXF720776 HHB720776 HQX720776 IAT720776 IKP720776 IUL720776 JEH720776 JOD720776 JXZ720776 KHV720776 KRR720776 LBN720776 LLJ720776 LVF720776 MFB720776 MOX720776 MYT720776 NIP720776 NSL720776 OCH720776 OMD720776 OVZ720776 PFV720776 PPR720776 PZN720776 QJJ720776 QTF720776 RDB720776 RMX720776 RWT720776 SGP720776 SQL720776 TAH720776 TKD720776 TTZ720776 UDV720776 UNR720776 UXN720776 VHJ720776 VRF720776 WBB720776 WKX720776 WUT720776 C786312 IH786312 SD786312 ABZ786312 ALV786312 AVR786312 BFN786312 BPJ786312 BZF786312 CJB786312 CSX786312 DCT786312 DMP786312 DWL786312 EGH786312 EQD786312 EZZ786312 FJV786312 FTR786312 GDN786312 GNJ786312 GXF786312 HHB786312 HQX786312 IAT786312 IKP786312 IUL786312 JEH786312 JOD786312 JXZ786312 KHV786312 KRR786312 LBN786312 LLJ786312 LVF786312 MFB786312 MOX786312 MYT786312 NIP786312 NSL786312 OCH786312 OMD786312 OVZ786312 PFV786312 PPR786312 PZN786312 QJJ786312 QTF786312 RDB786312 RMX786312 RWT786312 SGP786312 SQL786312 TAH786312 TKD786312 TTZ786312 UDV786312 UNR786312 UXN786312 VHJ786312 VRF786312 WBB786312 WKX786312 WUT786312 C851848 IH851848 SD851848 ABZ851848 ALV851848 AVR851848 BFN851848 BPJ851848 BZF851848 CJB851848 CSX851848 DCT851848 DMP851848 DWL851848 EGH851848 EQD851848 EZZ851848 FJV851848 FTR851848 GDN851848 GNJ851848 GXF851848 HHB851848 HQX851848 IAT851848 IKP851848 IUL851848 JEH851848 JOD851848 JXZ851848 KHV851848 KRR851848 LBN851848 LLJ851848 LVF851848 MFB851848 MOX851848 MYT851848 NIP851848 NSL851848 OCH851848 OMD851848 OVZ851848 PFV851848 PPR851848 PZN851848 QJJ851848 QTF851848 RDB851848 RMX851848 RWT851848 SGP851848 SQL851848 TAH851848 TKD851848 TTZ851848 UDV851848 UNR851848 UXN851848 VHJ851848 VRF851848 WBB851848 WKX851848 WUT851848 C917384 IH917384 SD917384 ABZ917384 ALV917384 AVR917384 BFN917384 BPJ917384 BZF917384 CJB917384 CSX917384 DCT917384 DMP917384 DWL917384 EGH917384 EQD917384 EZZ917384 FJV917384 FTR917384 GDN917384 GNJ917384 GXF917384 HHB917384 HQX917384 IAT917384 IKP917384 IUL917384 JEH917384 JOD917384 JXZ917384 KHV917384 KRR917384 LBN917384 LLJ917384 LVF917384 MFB917384 MOX917384 MYT917384 NIP917384 NSL917384 OCH917384 OMD917384 OVZ917384 PFV917384 PPR917384 PZN917384 QJJ917384 QTF917384 RDB917384 RMX917384 RWT917384 SGP917384 SQL917384 TAH917384 TKD917384 TTZ917384 UDV917384 UNR917384 UXN917384 VHJ917384 VRF917384 WBB917384 WKX917384 WUT917384 C982920 IH982920 SD982920 ABZ982920 ALV982920 AVR982920 BFN982920 BPJ982920 BZF982920 CJB982920 CSX982920 DCT982920 DMP982920 DWL982920 EGH982920 EQD982920 EZZ982920 FJV982920 FTR982920 GDN982920 GNJ982920 GXF982920 HHB982920 HQX982920 IAT982920 IKP982920 IUL982920 JEH982920 JOD982920 JXZ982920 KHV982920 KRR982920 LBN982920 LLJ982920 LVF982920 MFB982920 MOX982920 MYT982920 NIP982920 NSL982920 OCH982920 OMD982920 OVZ982920 PFV982920 PPR982920 PZN982920 QJJ982920 QTF982920 RDB982920 RMX982920 RWT982920 SGP982920 SQL982920 TAH982920 TKD982920 TTZ982920 UDV982920 UNR982920 UXN982920 VHJ982920 VRF982920 WBB982920 WKX982920 WUT982920 C65450 IH65450 SD65450 ABZ65450 ALV65450 AVR65450 BFN65450 BPJ65450 BZF65450 CJB65450 CSX65450 DCT65450 DMP65450 DWL65450 EGH65450 EQD65450 EZZ65450 FJV65450 FTR65450 GDN65450 GNJ65450 GXF65450 HHB65450 HQX65450 IAT65450 IKP65450 IUL65450 JEH65450 JOD65450 JXZ65450 KHV65450 KRR65450 LBN65450 LLJ65450 LVF65450 MFB65450 MOX65450 MYT65450 NIP65450 NSL65450 OCH65450 OMD65450 OVZ65450 PFV65450 PPR65450 PZN65450 QJJ65450 QTF65450 RDB65450 RMX65450 RWT65450 SGP65450 SQL65450 TAH65450 TKD65450 TTZ65450 UDV65450 UNR65450 UXN65450 VHJ65450 VRF65450 WBB65450 WKX65450 WUT65450 C130986 IH130986 SD130986 ABZ130986 ALV130986 AVR130986 BFN130986 BPJ130986 BZF130986 CJB130986 CSX130986 DCT130986 DMP130986 DWL130986 EGH130986 EQD130986 EZZ130986 FJV130986 FTR130986 GDN130986 GNJ130986 GXF130986 HHB130986 HQX130986 IAT130986 IKP130986 IUL130986 JEH130986 JOD130986 JXZ130986 KHV130986 KRR130986 LBN130986 LLJ130986 LVF130986 MFB130986 MOX130986 MYT130986 NIP130986 NSL130986 OCH130986 OMD130986 OVZ130986 PFV130986 PPR130986 PZN130986 QJJ130986 QTF130986 RDB130986 RMX130986 RWT130986 SGP130986 SQL130986 TAH130986 TKD130986 TTZ130986 UDV130986 UNR130986 UXN130986 VHJ130986 VRF130986 WBB130986 WKX130986 WUT130986 C196522 IH196522 SD196522 ABZ196522 ALV196522 AVR196522 BFN196522 BPJ196522 BZF196522 CJB196522 CSX196522 DCT196522 DMP196522 DWL196522 EGH196522 EQD196522 EZZ196522 FJV196522 FTR196522 GDN196522 GNJ196522 GXF196522 HHB196522 HQX196522 IAT196522 IKP196522 IUL196522 JEH196522 JOD196522 JXZ196522 KHV196522 KRR196522 LBN196522 LLJ196522 LVF196522 MFB196522 MOX196522 MYT196522 NIP196522 NSL196522 OCH196522 OMD196522 OVZ196522 PFV196522 PPR196522 PZN196522 QJJ196522 QTF196522 RDB196522 RMX196522 RWT196522 SGP196522 SQL196522 TAH196522 TKD196522 TTZ196522 UDV196522 UNR196522 UXN196522 VHJ196522 VRF196522 WBB196522 WKX196522 WUT196522 C262058 IH262058 SD262058 ABZ262058 ALV262058 AVR262058 BFN262058 BPJ262058 BZF262058 CJB262058 CSX262058 DCT262058 DMP262058 DWL262058 EGH262058 EQD262058 EZZ262058 FJV262058 FTR262058 GDN262058 GNJ262058 GXF262058 HHB262058 HQX262058 IAT262058 IKP262058 IUL262058 JEH262058 JOD262058 JXZ262058 KHV262058 KRR262058 LBN262058 LLJ262058 LVF262058 MFB262058 MOX262058 MYT262058 NIP262058 NSL262058 OCH262058 OMD262058 OVZ262058 PFV262058 PPR262058 PZN262058 QJJ262058 QTF262058 RDB262058 RMX262058 RWT262058 SGP262058 SQL262058 TAH262058 TKD262058 TTZ262058 UDV262058 UNR262058 UXN262058 VHJ262058 VRF262058 WBB262058 WKX262058 WUT262058 C327594 IH327594 SD327594 ABZ327594 ALV327594 AVR327594 BFN327594 BPJ327594 BZF327594 CJB327594 CSX327594 DCT327594 DMP327594 DWL327594 EGH327594 EQD327594 EZZ327594 FJV327594 FTR327594 GDN327594 GNJ327594 GXF327594 HHB327594 HQX327594 IAT327594 IKP327594 IUL327594 JEH327594 JOD327594 JXZ327594 KHV327594 KRR327594 LBN327594 LLJ327594 LVF327594 MFB327594 MOX327594 MYT327594 NIP327594 NSL327594 OCH327594 OMD327594 OVZ327594 PFV327594 PPR327594 PZN327594 QJJ327594 QTF327594 RDB327594 RMX327594 RWT327594 SGP327594 SQL327594 TAH327594 TKD327594 TTZ327594 UDV327594 UNR327594 UXN327594 VHJ327594 VRF327594 WBB327594 WKX327594 WUT327594 C393130 IH393130 SD393130 ABZ393130 ALV393130 AVR393130 BFN393130 BPJ393130 BZF393130 CJB393130 CSX393130 DCT393130 DMP393130 DWL393130 EGH393130 EQD393130 EZZ393130 FJV393130 FTR393130 GDN393130 GNJ393130 GXF393130 HHB393130 HQX393130 IAT393130 IKP393130 IUL393130 JEH393130 JOD393130 JXZ393130 KHV393130 KRR393130 LBN393130 LLJ393130 LVF393130 MFB393130 MOX393130 MYT393130 NIP393130 NSL393130 OCH393130 OMD393130 OVZ393130 PFV393130 PPR393130 PZN393130 QJJ393130 QTF393130 RDB393130 RMX393130 RWT393130 SGP393130 SQL393130 TAH393130 TKD393130 TTZ393130 UDV393130 UNR393130 UXN393130 VHJ393130 VRF393130 WBB393130 WKX393130 WUT393130 C458666 IH458666 SD458666 ABZ458666 ALV458666 AVR458666 BFN458666 BPJ458666 BZF458666 CJB458666 CSX458666 DCT458666 DMP458666 DWL458666 EGH458666 EQD458666 EZZ458666 FJV458666 FTR458666 GDN458666 GNJ458666 GXF458666 HHB458666 HQX458666 IAT458666 IKP458666 IUL458666 JEH458666 JOD458666 JXZ458666 KHV458666 KRR458666 LBN458666 LLJ458666 LVF458666 MFB458666 MOX458666 MYT458666 NIP458666 NSL458666 OCH458666 OMD458666 OVZ458666 PFV458666 PPR458666 PZN458666 QJJ458666 QTF458666 RDB458666 RMX458666 RWT458666 SGP458666 SQL458666 TAH458666 TKD458666 TTZ458666 UDV458666 UNR458666 UXN458666 VHJ458666 VRF458666 WBB458666 WKX458666 WUT458666 C524202 IH524202 SD524202 ABZ524202 ALV524202 AVR524202 BFN524202 BPJ524202 BZF524202 CJB524202 CSX524202 DCT524202 DMP524202 DWL524202 EGH524202 EQD524202 EZZ524202 FJV524202 FTR524202 GDN524202 GNJ524202 GXF524202 HHB524202 HQX524202 IAT524202 IKP524202 IUL524202 JEH524202 JOD524202 JXZ524202 KHV524202 KRR524202 LBN524202 LLJ524202 LVF524202 MFB524202 MOX524202 MYT524202 NIP524202 NSL524202 OCH524202 OMD524202 OVZ524202 PFV524202 PPR524202 PZN524202 QJJ524202 QTF524202 RDB524202 RMX524202 RWT524202 SGP524202 SQL524202 TAH524202 TKD524202 TTZ524202 UDV524202 UNR524202 UXN524202 VHJ524202 VRF524202 WBB524202 WKX524202 WUT524202 C589738 IH589738 SD589738 ABZ589738 ALV589738 AVR589738 BFN589738 BPJ589738 BZF589738 CJB589738 CSX589738 DCT589738 DMP589738 DWL589738 EGH589738 EQD589738 EZZ589738 FJV589738 FTR589738 GDN589738 GNJ589738 GXF589738 HHB589738 HQX589738 IAT589738 IKP589738 IUL589738 JEH589738 JOD589738 JXZ589738 KHV589738 KRR589738 LBN589738 LLJ589738 LVF589738 MFB589738 MOX589738 MYT589738 NIP589738 NSL589738 OCH589738 OMD589738 OVZ589738 PFV589738 PPR589738 PZN589738 QJJ589738 QTF589738 RDB589738 RMX589738 RWT589738 SGP589738 SQL589738 TAH589738 TKD589738 TTZ589738 UDV589738 UNR589738 UXN589738 VHJ589738 VRF589738 WBB589738 WKX589738 WUT589738 C655274 IH655274 SD655274 ABZ655274 ALV655274 AVR655274 BFN655274 BPJ655274 BZF655274 CJB655274 CSX655274 DCT655274 DMP655274 DWL655274 EGH655274 EQD655274 EZZ655274 FJV655274 FTR655274 GDN655274 GNJ655274 GXF655274 HHB655274 HQX655274 IAT655274 IKP655274 IUL655274 JEH655274 JOD655274 JXZ655274 KHV655274 KRR655274 LBN655274 LLJ655274 LVF655274 MFB655274 MOX655274 MYT655274 NIP655274 NSL655274 OCH655274 OMD655274 OVZ655274 PFV655274 PPR655274 PZN655274 QJJ655274 QTF655274 RDB655274 RMX655274 RWT655274 SGP655274 SQL655274 TAH655274 TKD655274 TTZ655274 UDV655274 UNR655274 UXN655274 VHJ655274 VRF655274 WBB655274 WKX655274 WUT655274 C720810 IH720810 SD720810 ABZ720810 ALV720810 AVR720810 BFN720810 BPJ720810 BZF720810 CJB720810 CSX720810 DCT720810 DMP720810 DWL720810 EGH720810 EQD720810 EZZ720810 FJV720810 FTR720810 GDN720810 GNJ720810 GXF720810 HHB720810 HQX720810 IAT720810 IKP720810 IUL720810 JEH720810 JOD720810 JXZ720810 KHV720810 KRR720810 LBN720810 LLJ720810 LVF720810 MFB720810 MOX720810 MYT720810 NIP720810 NSL720810 OCH720810 OMD720810 OVZ720810 PFV720810 PPR720810 PZN720810 QJJ720810 QTF720810 RDB720810 RMX720810 RWT720810 SGP720810 SQL720810 TAH720810 TKD720810 TTZ720810 UDV720810 UNR720810 UXN720810 VHJ720810 VRF720810 WBB720810 WKX720810 WUT720810 C786346 IH786346 SD786346 ABZ786346 ALV786346 AVR786346 BFN786346 BPJ786346 BZF786346 CJB786346 CSX786346 DCT786346 DMP786346 DWL786346 EGH786346 EQD786346 EZZ786346 FJV786346 FTR786346 GDN786346 GNJ786346 GXF786346 HHB786346 HQX786346 IAT786346 IKP786346 IUL786346 JEH786346 JOD786346 JXZ786346 KHV786346 KRR786346 LBN786346 LLJ786346 LVF786346 MFB786346 MOX786346 MYT786346 NIP786346 NSL786346 OCH786346 OMD786346 OVZ786346 PFV786346 PPR786346 PZN786346 QJJ786346 QTF786346 RDB786346 RMX786346 RWT786346 SGP786346 SQL786346 TAH786346 TKD786346 TTZ786346 UDV786346 UNR786346 UXN786346 VHJ786346 VRF786346 WBB786346 WKX786346 WUT786346 C851882 IH851882 SD851882 ABZ851882 ALV851882 AVR851882 BFN851882 BPJ851882 BZF851882 CJB851882 CSX851882 DCT851882 DMP851882 DWL851882 EGH851882 EQD851882 EZZ851882 FJV851882 FTR851882 GDN851882 GNJ851882 GXF851882 HHB851882 HQX851882 IAT851882 IKP851882 IUL851882 JEH851882 JOD851882 JXZ851882 KHV851882 KRR851882 LBN851882 LLJ851882 LVF851882 MFB851882 MOX851882 MYT851882 NIP851882 NSL851882 OCH851882 OMD851882 OVZ851882 PFV851882 PPR851882 PZN851882 QJJ851882 QTF851882 RDB851882 RMX851882 RWT851882 SGP851882 SQL851882 TAH851882 TKD851882 TTZ851882 UDV851882 UNR851882 UXN851882 VHJ851882 VRF851882 WBB851882 WKX851882 WUT851882 C917418 IH917418 SD917418 ABZ917418 ALV917418 AVR917418 BFN917418 BPJ917418 BZF917418 CJB917418 CSX917418 DCT917418 DMP917418 DWL917418 EGH917418 EQD917418 EZZ917418 FJV917418 FTR917418 GDN917418 GNJ917418 GXF917418 HHB917418 HQX917418 IAT917418 IKP917418 IUL917418 JEH917418 JOD917418 JXZ917418 KHV917418 KRR917418 LBN917418 LLJ917418 LVF917418 MFB917418 MOX917418 MYT917418 NIP917418 NSL917418 OCH917418 OMD917418 OVZ917418 PFV917418 PPR917418 PZN917418 QJJ917418 QTF917418 RDB917418 RMX917418 RWT917418 SGP917418 SQL917418 TAH917418 TKD917418 TTZ917418 UDV917418 UNR917418 UXN917418 VHJ917418 VRF917418 WBB917418 WKX917418 WUT917418 C982954 IH982954 SD982954 ABZ982954 ALV982954 AVR982954 BFN982954 BPJ982954 BZF982954 CJB982954 CSX982954 DCT982954 DMP982954 DWL982954 EGH982954 EQD982954 EZZ982954 FJV982954 FTR982954 GDN982954 GNJ982954 GXF982954 HHB982954 HQX982954 IAT982954 IKP982954 IUL982954 JEH982954 JOD982954 JXZ982954 KHV982954 KRR982954 LBN982954 LLJ982954 LVF982954 MFB982954 MOX982954 MYT982954 NIP982954 NSL982954 OCH982954 OMD982954 OVZ982954 PFV982954 PPR982954 PZN982954 QJJ982954 QTF982954 RDB982954 RMX982954 RWT982954 SGP982954 SQL982954 TAH982954 TKD982954 TTZ982954 UDV982954 UNR982954 UXN982954 VHJ982954 VRF982954 WBB982954 WKX982954 WUT982954 C17 IH17 SD17 ABZ17 ALV17 AVR17 BFN17 BPJ17 BZF17 CJB17 CSX17 DCT17 DMP17 DWL17 EGH17 EQD17 EZZ17 FJV17 FTR17 GDN17 GNJ17 GXF17 HHB17 HQX17 IAT17 IKP17 IUL17 JEH17 JOD17 JXZ17 KHV17 KRR17 LBN17 LLJ17 LVF17 MFB17 MOX17 MYT17 NIP17 NSL17 OCH17 OMD17 OVZ17 PFV17 PPR17 PZN17 QJJ17 QTF17 RDB17 RMX17 RWT17 SGP17 SQL17 TAH17 TKD17 TTZ17 UDV17 UNR17 UXN17 VHJ17 VRF17 WBB17 WKX17 WUT17 C65382 IH65382 SD65382 ABZ65382 ALV65382 AVR65382 BFN65382 BPJ65382 BZF65382 CJB65382 CSX65382 DCT65382 DMP65382 DWL65382 EGH65382 EQD65382 EZZ65382 FJV65382 FTR65382 GDN65382 GNJ65382 GXF65382 HHB65382 HQX65382 IAT65382 IKP65382 IUL65382 JEH65382 JOD65382 JXZ65382 KHV65382 KRR65382 LBN65382 LLJ65382 LVF65382 MFB65382 MOX65382 MYT65382 NIP65382 NSL65382 OCH65382 OMD65382 OVZ65382 PFV65382 PPR65382 PZN65382 QJJ65382 QTF65382 RDB65382 RMX65382 RWT65382 SGP65382 SQL65382 TAH65382 TKD65382 TTZ65382 UDV65382 UNR65382 UXN65382 VHJ65382 VRF65382 WBB65382 WKX65382 WUT65382 C130918 IH130918 SD130918 ABZ130918 ALV130918 AVR130918 BFN130918 BPJ130918 BZF130918 CJB130918 CSX130918 DCT130918 DMP130918 DWL130918 EGH130918 EQD130918 EZZ130918 FJV130918 FTR130918 GDN130918 GNJ130918 GXF130918 HHB130918 HQX130918 IAT130918 IKP130918 IUL130918 JEH130918 JOD130918 JXZ130918 KHV130918 KRR130918 LBN130918 LLJ130918 LVF130918 MFB130918 MOX130918 MYT130918 NIP130918 NSL130918 OCH130918 OMD130918 OVZ130918 PFV130918 PPR130918 PZN130918 QJJ130918 QTF130918 RDB130918 RMX130918 RWT130918 SGP130918 SQL130918 TAH130918 TKD130918 TTZ130918 UDV130918 UNR130918 UXN130918 VHJ130918 VRF130918 WBB130918 WKX130918 WUT130918 C196454 IH196454 SD196454 ABZ196454 ALV196454 AVR196454 BFN196454 BPJ196454 BZF196454 CJB196454 CSX196454 DCT196454 DMP196454 DWL196454 EGH196454 EQD196454 EZZ196454 FJV196454 FTR196454 GDN196454 GNJ196454 GXF196454 HHB196454 HQX196454 IAT196454 IKP196454 IUL196454 JEH196454 JOD196454 JXZ196454 KHV196454 KRR196454 LBN196454 LLJ196454 LVF196454 MFB196454 MOX196454 MYT196454 NIP196454 NSL196454 OCH196454 OMD196454 OVZ196454 PFV196454 PPR196454 PZN196454 QJJ196454 QTF196454 RDB196454 RMX196454 RWT196454 SGP196454 SQL196454 TAH196454 TKD196454 TTZ196454 UDV196454 UNR196454 UXN196454 VHJ196454 VRF196454 WBB196454 WKX196454 WUT196454 C261990 IH261990 SD261990 ABZ261990 ALV261990 AVR261990 BFN261990 BPJ261990 BZF261990 CJB261990 CSX261990 DCT261990 DMP261990 DWL261990 EGH261990 EQD261990 EZZ261990 FJV261990 FTR261990 GDN261990 GNJ261990 GXF261990 HHB261990 HQX261990 IAT261990 IKP261990 IUL261990 JEH261990 JOD261990 JXZ261990 KHV261990 KRR261990 LBN261990 LLJ261990 LVF261990 MFB261990 MOX261990 MYT261990 NIP261990 NSL261990 OCH261990 OMD261990 OVZ261990 PFV261990 PPR261990 PZN261990 QJJ261990 QTF261990 RDB261990 RMX261990 RWT261990 SGP261990 SQL261990 TAH261990 TKD261990 TTZ261990 UDV261990 UNR261990 UXN261990 VHJ261990 VRF261990 WBB261990 WKX261990 WUT261990 C327526 IH327526 SD327526 ABZ327526 ALV327526 AVR327526 BFN327526 BPJ327526 BZF327526 CJB327526 CSX327526 DCT327526 DMP327526 DWL327526 EGH327526 EQD327526 EZZ327526 FJV327526 FTR327526 GDN327526 GNJ327526 GXF327526 HHB327526 HQX327526 IAT327526 IKP327526 IUL327526 JEH327526 JOD327526 JXZ327526 KHV327526 KRR327526 LBN327526 LLJ327526 LVF327526 MFB327526 MOX327526 MYT327526 NIP327526 NSL327526 OCH327526 OMD327526 OVZ327526 PFV327526 PPR327526 PZN327526 QJJ327526 QTF327526 RDB327526 RMX327526 RWT327526 SGP327526 SQL327526 TAH327526 TKD327526 TTZ327526 UDV327526 UNR327526 UXN327526 VHJ327526 VRF327526 WBB327526 WKX327526 WUT327526 C393062 IH393062 SD393062 ABZ393062 ALV393062 AVR393062 BFN393062 BPJ393062 BZF393062 CJB393062 CSX393062 DCT393062 DMP393062 DWL393062 EGH393062 EQD393062 EZZ393062 FJV393062 FTR393062 GDN393062 GNJ393062 GXF393062 HHB393062 HQX393062 IAT393062 IKP393062 IUL393062 JEH393062 JOD393062 JXZ393062 KHV393062 KRR393062 LBN393062 LLJ393062 LVF393062 MFB393062 MOX393062 MYT393062 NIP393062 NSL393062 OCH393062 OMD393062 OVZ393062 PFV393062 PPR393062 PZN393062 QJJ393062 QTF393062 RDB393062 RMX393062 RWT393062 SGP393062 SQL393062 TAH393062 TKD393062 TTZ393062 UDV393062 UNR393062 UXN393062 VHJ393062 VRF393062 WBB393062 WKX393062 WUT393062 C458598 IH458598 SD458598 ABZ458598 ALV458598 AVR458598 BFN458598 BPJ458598 BZF458598 CJB458598 CSX458598 DCT458598 DMP458598 DWL458598 EGH458598 EQD458598 EZZ458598 FJV458598 FTR458598 GDN458598 GNJ458598 GXF458598 HHB458598 HQX458598 IAT458598 IKP458598 IUL458598 JEH458598 JOD458598 JXZ458598 KHV458598 KRR458598 LBN458598 LLJ458598 LVF458598 MFB458598 MOX458598 MYT458598 NIP458598 NSL458598 OCH458598 OMD458598 OVZ458598 PFV458598 PPR458598 PZN458598 QJJ458598 QTF458598 RDB458598 RMX458598 RWT458598 SGP458598 SQL458598 TAH458598 TKD458598 TTZ458598 UDV458598 UNR458598 UXN458598 VHJ458598 VRF458598 WBB458598 WKX458598 WUT458598 C524134 IH524134 SD524134 ABZ524134 ALV524134 AVR524134 BFN524134 BPJ524134 BZF524134 CJB524134 CSX524134 DCT524134 DMP524134 DWL524134 EGH524134 EQD524134 EZZ524134 FJV524134 FTR524134 GDN524134 GNJ524134 GXF524134 HHB524134 HQX524134 IAT524134 IKP524134 IUL524134 JEH524134 JOD524134 JXZ524134 KHV524134 KRR524134 LBN524134 LLJ524134 LVF524134 MFB524134 MOX524134 MYT524134 NIP524134 NSL524134 OCH524134 OMD524134 OVZ524134 PFV524134 PPR524134 PZN524134 QJJ524134 QTF524134 RDB524134 RMX524134 RWT524134 SGP524134 SQL524134 TAH524134 TKD524134 TTZ524134 UDV524134 UNR524134 UXN524134 VHJ524134 VRF524134 WBB524134 WKX524134 WUT524134 C589670 IH589670 SD589670 ABZ589670 ALV589670 AVR589670 BFN589670 BPJ589670 BZF589670 CJB589670 CSX589670 DCT589670 DMP589670 DWL589670 EGH589670 EQD589670 EZZ589670 FJV589670 FTR589670 GDN589670 GNJ589670 GXF589670 HHB589670 HQX589670 IAT589670 IKP589670 IUL589670 JEH589670 JOD589670 JXZ589670 KHV589670 KRR589670 LBN589670 LLJ589670 LVF589670 MFB589670 MOX589670 MYT589670 NIP589670 NSL589670 OCH589670 OMD589670 OVZ589670 PFV589670 PPR589670 PZN589670 QJJ589670 QTF589670 RDB589670 RMX589670 RWT589670 SGP589670 SQL589670 TAH589670 TKD589670 TTZ589670 UDV589670 UNR589670 UXN589670 VHJ589670 VRF589670 WBB589670 WKX589670 WUT589670 C655206 IH655206 SD655206 ABZ655206 ALV655206 AVR655206 BFN655206 BPJ655206 BZF655206 CJB655206 CSX655206 DCT655206 DMP655206 DWL655206 EGH655206 EQD655206 EZZ655206 FJV655206 FTR655206 GDN655206 GNJ655206 GXF655206 HHB655206 HQX655206 IAT655206 IKP655206 IUL655206 JEH655206 JOD655206 JXZ655206 KHV655206 KRR655206 LBN655206 LLJ655206 LVF655206 MFB655206 MOX655206 MYT655206 NIP655206 NSL655206 OCH655206 OMD655206 OVZ655206 PFV655206 PPR655206 PZN655206 QJJ655206 QTF655206 RDB655206 RMX655206 RWT655206 SGP655206 SQL655206 TAH655206 TKD655206 TTZ655206 UDV655206 UNR655206 UXN655206 VHJ655206 VRF655206 WBB655206 WKX655206 WUT655206 C720742 IH720742 SD720742 ABZ720742 ALV720742 AVR720742 BFN720742 BPJ720742 BZF720742 CJB720742 CSX720742 DCT720742 DMP720742 DWL720742 EGH720742 EQD720742 EZZ720742 FJV720742 FTR720742 GDN720742 GNJ720742 GXF720742 HHB720742 HQX720742 IAT720742 IKP720742 IUL720742 JEH720742 JOD720742 JXZ720742 KHV720742 KRR720742 LBN720742 LLJ720742 LVF720742 MFB720742 MOX720742 MYT720742 NIP720742 NSL720742 OCH720742 OMD720742 OVZ720742 PFV720742 PPR720742 PZN720742 QJJ720742 QTF720742 RDB720742 RMX720742 RWT720742 SGP720742 SQL720742 TAH720742 TKD720742 TTZ720742 UDV720742 UNR720742 UXN720742 VHJ720742 VRF720742 WBB720742 WKX720742 WUT720742 C786278 IH786278 SD786278 ABZ786278 ALV786278 AVR786278 BFN786278 BPJ786278 BZF786278 CJB786278 CSX786278 DCT786278 DMP786278 DWL786278 EGH786278 EQD786278 EZZ786278 FJV786278 FTR786278 GDN786278 GNJ786278 GXF786278 HHB786278 HQX786278 IAT786278 IKP786278 IUL786278 JEH786278 JOD786278 JXZ786278 KHV786278 KRR786278 LBN786278 LLJ786278 LVF786278 MFB786278 MOX786278 MYT786278 NIP786278 NSL786278 OCH786278 OMD786278 OVZ786278 PFV786278 PPR786278 PZN786278 QJJ786278 QTF786278 RDB786278 RMX786278 RWT786278 SGP786278 SQL786278 TAH786278 TKD786278 TTZ786278 UDV786278 UNR786278 UXN786278 VHJ786278 VRF786278 WBB786278 WKX786278 WUT786278 C851814 IH851814 SD851814 ABZ851814 ALV851814 AVR851814 BFN851814 BPJ851814 BZF851814 CJB851814 CSX851814 DCT851814 DMP851814 DWL851814 EGH851814 EQD851814 EZZ851814 FJV851814 FTR851814 GDN851814 GNJ851814 GXF851814 HHB851814 HQX851814 IAT851814 IKP851814 IUL851814 JEH851814 JOD851814 JXZ851814 KHV851814 KRR851814 LBN851814 LLJ851814 LVF851814 MFB851814 MOX851814 MYT851814 NIP851814 NSL851814 OCH851814 OMD851814 OVZ851814 PFV851814 PPR851814 PZN851814 QJJ851814 QTF851814 RDB851814 RMX851814 RWT851814 SGP851814 SQL851814 TAH851814 TKD851814 TTZ851814 UDV851814 UNR851814 UXN851814 VHJ851814 VRF851814 WBB851814 WKX851814 WUT851814 C917350 IH917350 SD917350 ABZ917350 ALV917350 AVR917350 BFN917350 BPJ917350 BZF917350 CJB917350 CSX917350 DCT917350 DMP917350 DWL917350 EGH917350 EQD917350 EZZ917350 FJV917350 FTR917350 GDN917350 GNJ917350 GXF917350 HHB917350 HQX917350 IAT917350 IKP917350 IUL917350 JEH917350 JOD917350 JXZ917350 KHV917350 KRR917350 LBN917350 LLJ917350 LVF917350 MFB917350 MOX917350 MYT917350 NIP917350 NSL917350 OCH917350 OMD917350 OVZ917350 PFV917350 PPR917350 PZN917350 QJJ917350 QTF917350 RDB917350 RMX917350 RWT917350 SGP917350 SQL917350 TAH917350 TKD917350 TTZ917350 UDV917350 UNR917350 UXN917350 VHJ917350 VRF917350 WBB917350 WKX917350 WUT917350 C982886 IH982886 SD982886 ABZ982886 ALV982886 AVR982886 BFN982886 BPJ982886 BZF982886 CJB982886 CSX982886 DCT982886 DMP982886 DWL982886 EGH982886 EQD982886 EZZ982886 FJV982886 FTR982886 GDN982886 GNJ982886 GXF982886 HHB982886 HQX982886 IAT982886 IKP982886 IUL982886 JEH982886 JOD982886 JXZ982886 KHV982886 KRR982886 LBN982886 LLJ982886 LVF982886 MFB982886 MOX982886 MYT982886 NIP982886 NSL982886 OCH982886 OMD982886 OVZ982886 PFV982886 PPR982886 PZN982886 QJJ982886 QTF982886 RDB982886 RMX982886 RWT982886 SGP982886 SQL982886 TAH982886 TKD982886 TTZ982886 UDV982886 UNR982886 UXN982886 VHJ982886 VRF982886 WBB982886 WKX982886 WUT982886 G65416 K786278 O65416 G130952 K720742 O130952 G196488 K655206 O196488 G262024 K589670 O262024 G327560 K524134 O327560 G393096 K458598 O393096 G458632 K393062 O458632 G524168 K327526 O524168 G589704 K261990 O589704 G655240 K196454 O655240 G720776 K130918 O720776 G786312 K65382 O786312 G851848 K982886 O851848 G917384 K982954 O917384 G982920 K917418 O982920 G65450 K851882 O65450 G130986 K786346 O130986 G196522 K720810 O196522 G262058 K655274 O262058 G327594 K589738 O327594 G393130 K524202 O393130 G458666 K458666 O458666 G524202 K393130 O524202 G589738 K327594 O589738 G655274 K262058 O655274 G720810 K196522 O720810 G786346 K130986 O786346 G851882 K65450 O851882 G917418 K982920 O917418 G982954 K917384 O982954 O982886 K851848 G982886 G65382 K786312 O65382 G130918 K720776 O130918 G196454 K655240 O196454 G261990 K589704 O261990 G327526 K524168 O327526 G393062 K458632 O393062 G458598 K393096 O458598 G524134 K327560 O524134 G589670 K262024 O589670 G655206 K196488 O655206 G720742 K130952 O720742 G786278 K65416 O786278 G851814 K917350 O851814 G917350 O917350 M917350 M65416 M130952 M196488 M262024 M327560 M393096 M458632 M524168 M589704 M655240 M720776 M786312 M851848 M917384 M982920 M65450 M130986 M196522 M262058 M327594 M393130 M458666 M524202 M589738 M655274 M720810 M786346 M851882 M917418 M982954 M982886 M65382 M130918 M196454 M261990 M327526 M393062 M458598 M524134 M589670 M655206 M720742 M786278 M851814 I917350 I65416 I130952 I196488 I262024 I327560 I393096 I458632 I524168 I589704 I655240 I720776 I786312 I851848 I917384 I982920 I65450 I130986 I196522 I262058 I327594 I393130 I458666 I524202 I589738 I655274 I720810 I786346 I851882 I917418 I982954 I982886 I65382 I130918 I196454 I261990 I327526 I393062 I458598 I524134 I589670 I655206 I720742 I786278 I851814 K851814" xr:uid="{C4E20BE6-57D3-4BD1-AEEE-C0F5F9DF0A80}"/>
  </dataValidations>
  <pageMargins left="0.43307086614173229" right="0.23622047244094491" top="0.74803149606299213" bottom="0.74803149606299213" header="0.31496062992125984" footer="0.31496062992125984"/>
  <pageSetup paperSize="9" scale="85"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44F09-3C28-489B-9A43-8B9DE054EB42}">
  <sheetPr>
    <tabColor rgb="FF002060"/>
  </sheetPr>
  <dimension ref="A1:E6"/>
  <sheetViews>
    <sheetView workbookViewId="0">
      <selection activeCell="A6" sqref="A6"/>
    </sheetView>
  </sheetViews>
  <sheetFormatPr defaultRowHeight="12.5" x14ac:dyDescent="0.25"/>
  <cols>
    <col min="1" max="1" width="26" customWidth="1"/>
    <col min="2" max="2" width="19.26953125" customWidth="1"/>
    <col min="3" max="3" width="30.54296875" customWidth="1"/>
  </cols>
  <sheetData>
    <row r="1" spans="1:5" ht="20" x14ac:dyDescent="0.25">
      <c r="A1" s="447" t="s">
        <v>1466</v>
      </c>
      <c r="B1" s="448"/>
      <c r="C1" s="184"/>
      <c r="D1" s="184"/>
      <c r="E1" s="184"/>
    </row>
    <row r="2" spans="1:5" ht="13" x14ac:dyDescent="0.25">
      <c r="A2" s="20"/>
    </row>
    <row r="3" spans="1:5" ht="13" x14ac:dyDescent="0.25">
      <c r="A3" s="22" t="s">
        <v>16</v>
      </c>
      <c r="B3" s="449" t="str">
        <f>Summary!C5</f>
        <v>Select School Name</v>
      </c>
      <c r="C3" s="449"/>
      <c r="D3" s="21" t="s">
        <v>1082</v>
      </c>
      <c r="E3" s="127" t="str">
        <f>Summary!C6</f>
        <v>-</v>
      </c>
    </row>
    <row r="6" spans="1:5" x14ac:dyDescent="0.25">
      <c r="A6" t="s">
        <v>1467</v>
      </c>
    </row>
  </sheetData>
  <mergeCells count="2">
    <mergeCell ref="A1:B1"/>
    <mergeCell ref="B3:C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8221-ACCB-40E7-86BB-D191B0DE03E2}">
  <sheetPr>
    <tabColor rgb="FF002060"/>
  </sheetPr>
  <dimension ref="A1:E6"/>
  <sheetViews>
    <sheetView workbookViewId="0">
      <selection sqref="A1:B1"/>
    </sheetView>
  </sheetViews>
  <sheetFormatPr defaultRowHeight="12.5" x14ac:dyDescent="0.25"/>
  <cols>
    <col min="1" max="1" width="38.81640625" bestFit="1" customWidth="1"/>
    <col min="2" max="2" width="25.453125" customWidth="1"/>
    <col min="3" max="3" width="16.54296875" customWidth="1"/>
  </cols>
  <sheetData>
    <row r="1" spans="1:5" ht="20" x14ac:dyDescent="0.25">
      <c r="A1" s="447" t="s">
        <v>1468</v>
      </c>
      <c r="B1" s="448"/>
      <c r="C1" s="184"/>
      <c r="D1" s="184"/>
      <c r="E1" s="184"/>
    </row>
    <row r="2" spans="1:5" ht="13" x14ac:dyDescent="0.25">
      <c r="A2" s="20"/>
    </row>
    <row r="3" spans="1:5" ht="13" x14ac:dyDescent="0.25">
      <c r="A3" s="22" t="s">
        <v>16</v>
      </c>
      <c r="B3" s="449" t="str">
        <f>Summary!C5</f>
        <v>Select School Name</v>
      </c>
      <c r="C3" s="449"/>
      <c r="D3" s="21" t="s">
        <v>1082</v>
      </c>
      <c r="E3" s="127" t="str">
        <f>Summary!C6</f>
        <v>-</v>
      </c>
    </row>
    <row r="6" spans="1:5" x14ac:dyDescent="0.25">
      <c r="A6" t="s">
        <v>1467</v>
      </c>
    </row>
  </sheetData>
  <mergeCells count="2">
    <mergeCell ref="A1:B1"/>
    <mergeCell ref="B3:C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4DE68-E28F-4910-9190-9D85FF72F710}">
  <sheetPr>
    <tabColor rgb="FF002060"/>
  </sheetPr>
  <dimension ref="A1:E6"/>
  <sheetViews>
    <sheetView workbookViewId="0">
      <selection sqref="A1:B1"/>
    </sheetView>
  </sheetViews>
  <sheetFormatPr defaultRowHeight="12.5" x14ac:dyDescent="0.25"/>
  <cols>
    <col min="1" max="1" width="34.26953125" customWidth="1"/>
    <col min="2" max="2" width="27.54296875" customWidth="1"/>
    <col min="5" max="5" width="10.54296875" customWidth="1"/>
  </cols>
  <sheetData>
    <row r="1" spans="1:5" ht="20" x14ac:dyDescent="0.25">
      <c r="A1" s="447" t="s">
        <v>1469</v>
      </c>
      <c r="B1" s="448"/>
      <c r="C1" s="184"/>
      <c r="D1" s="184"/>
      <c r="E1" s="184"/>
    </row>
    <row r="2" spans="1:5" ht="13" x14ac:dyDescent="0.25">
      <c r="A2" s="20"/>
    </row>
    <row r="3" spans="1:5" ht="13" x14ac:dyDescent="0.25">
      <c r="A3" s="22" t="s">
        <v>16</v>
      </c>
      <c r="B3" s="449" t="str">
        <f>Summary!C5</f>
        <v>Select School Name</v>
      </c>
      <c r="C3" s="449"/>
      <c r="D3" s="21" t="s">
        <v>1082</v>
      </c>
      <c r="E3" s="127" t="str">
        <f>Summary!C6</f>
        <v>-</v>
      </c>
    </row>
    <row r="6" spans="1:5" x14ac:dyDescent="0.25">
      <c r="A6" t="s">
        <v>1467</v>
      </c>
    </row>
  </sheetData>
  <mergeCells count="2">
    <mergeCell ref="A1:B1"/>
    <mergeCell ref="B3:C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D57E-AE5A-4D09-9D1B-D0C56096368E}">
  <dimension ref="A1:A13"/>
  <sheetViews>
    <sheetView workbookViewId="0"/>
  </sheetViews>
  <sheetFormatPr defaultRowHeight="12.5" x14ac:dyDescent="0.25"/>
  <cols>
    <col min="1" max="1" width="71.54296875" customWidth="1"/>
  </cols>
  <sheetData>
    <row r="1" spans="1:1" ht="13" x14ac:dyDescent="0.25">
      <c r="A1" s="20" t="s">
        <v>1470</v>
      </c>
    </row>
    <row r="3" spans="1:1" ht="13" x14ac:dyDescent="0.25">
      <c r="A3" s="20" t="s">
        <v>1471</v>
      </c>
    </row>
    <row r="4" spans="1:1" x14ac:dyDescent="0.25">
      <c r="A4" s="396" t="s">
        <v>1472</v>
      </c>
    </row>
    <row r="5" spans="1:1" x14ac:dyDescent="0.25">
      <c r="A5" s="396" t="s">
        <v>1473</v>
      </c>
    </row>
    <row r="6" spans="1:1" x14ac:dyDescent="0.25">
      <c r="A6" s="396" t="s">
        <v>1474</v>
      </c>
    </row>
    <row r="7" spans="1:1" x14ac:dyDescent="0.25">
      <c r="A7" s="396" t="s">
        <v>1475</v>
      </c>
    </row>
    <row r="8" spans="1:1" x14ac:dyDescent="0.25">
      <c r="A8" s="396" t="s">
        <v>1476</v>
      </c>
    </row>
    <row r="9" spans="1:1" x14ac:dyDescent="0.25">
      <c r="A9" s="396" t="s">
        <v>1477</v>
      </c>
    </row>
    <row r="10" spans="1:1" x14ac:dyDescent="0.25">
      <c r="A10" s="396" t="s">
        <v>1478</v>
      </c>
    </row>
    <row r="13" spans="1:1" x14ac:dyDescent="0.25">
      <c r="A13" s="397" t="s">
        <v>1479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8E088D61435D429F53A8D9D38B3C75" ma:contentTypeVersion="11" ma:contentTypeDescription="Create a new document." ma:contentTypeScope="" ma:versionID="51497a2e3f4c6869d4984e7607f331c3">
  <xsd:schema xmlns:xsd="http://www.w3.org/2001/XMLSchema" xmlns:xs="http://www.w3.org/2001/XMLSchema" xmlns:p="http://schemas.microsoft.com/office/2006/metadata/properties" xmlns:ns2="1ce9011b-86f1-4b85-8468-bde8c49fc6b6" xmlns:ns3="db86872e-852c-4ba3-99d1-10e4e0767240" targetNamespace="http://schemas.microsoft.com/office/2006/metadata/properties" ma:root="true" ma:fieldsID="5f637cec53bea1aee19785ddc3b35417" ns2:_="" ns3:_="">
    <xsd:import namespace="1ce9011b-86f1-4b85-8468-bde8c49fc6b6"/>
    <xsd:import namespace="db86872e-852c-4ba3-99d1-10e4e07672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9011b-86f1-4b85-8468-bde8c49fc6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86872e-852c-4ba3-99d1-10e4e076724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528535-9DB1-4C4D-BF9A-885C50DC6AFD}">
  <ds:schemaRefs>
    <ds:schemaRef ds:uri="http://purl.org/dc/terms/"/>
    <ds:schemaRef ds:uri="db86872e-852c-4ba3-99d1-10e4e0767240"/>
    <ds:schemaRef ds:uri="http://schemas.microsoft.com/office/2006/documentManagement/types"/>
    <ds:schemaRef ds:uri="http://purl.org/dc/dcmitype/"/>
    <ds:schemaRef ds:uri="http://schemas.microsoft.com/office/infopath/2007/PartnerControls"/>
    <ds:schemaRef ds:uri="1ce9011b-86f1-4b85-8468-bde8c49fc6b6"/>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4DB0CFE-5BD7-4F5A-9D47-D5DDD30A3027}">
  <ds:schemaRefs>
    <ds:schemaRef ds:uri="http://schemas.microsoft.com/sharepoint/v3/contenttype/forms"/>
  </ds:schemaRefs>
</ds:datastoreItem>
</file>

<file path=customXml/itemProps3.xml><?xml version="1.0" encoding="utf-8"?>
<ds:datastoreItem xmlns:ds="http://schemas.openxmlformats.org/officeDocument/2006/customXml" ds:itemID="{2A8239A2-FB70-44A7-8299-745DC6E8A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9011b-86f1-4b85-8468-bde8c49fc6b6"/>
    <ds:schemaRef ds:uri="db86872e-852c-4ba3-99d1-10e4e076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Outturn 2023-24 BY BCC FINAL</vt:lpstr>
      <vt:lpstr>Lookup</vt:lpstr>
      <vt:lpstr>Read this first</vt:lpstr>
      <vt:lpstr>GLOSSARY</vt:lpstr>
      <vt:lpstr>Summary</vt:lpstr>
      <vt:lpstr>Narrative</vt:lpstr>
      <vt:lpstr>Project Group Actions </vt:lpstr>
      <vt:lpstr>Budget Plan</vt:lpstr>
      <vt:lpstr>PAN - NOR</vt:lpstr>
      <vt:lpstr>Establishment</vt:lpstr>
      <vt:lpstr>Current Organisation - Example</vt:lpstr>
      <vt:lpstr>Re Org inc Costs - Example</vt:lpstr>
      <vt:lpstr>Redundancy</vt:lpstr>
      <vt:lpstr>Pension Strain</vt:lpstr>
      <vt:lpstr>EHCP Pupil and Resources</vt:lpstr>
      <vt:lpstr>Contracts</vt:lpstr>
      <vt:lpstr>Guidance Notes (PTR)</vt:lpstr>
      <vt:lpstr>PTR, Contact Ratio</vt:lpstr>
      <vt:lpstr>Benchmarking Staffing </vt:lpstr>
      <vt:lpstr>Benchmarking Premises</vt:lpstr>
      <vt:lpstr>Benchmarking Non Staff</vt:lpstr>
      <vt:lpstr>Minutes of Meeting</vt:lpstr>
      <vt:lpstr>'Budget Plan'!Print_Area</vt:lpstr>
      <vt:lpstr>'Budget Plan'!Print_Titles</vt:lpstr>
      <vt:lpstr>'PTR, Contact Ratio'!Print_Titles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Deficit recovery plan template BCC - 202425</dc:title>
  <dc:subject/>
  <dc:creator>Rosalind Dennison</dc:creator>
  <cp:keywords/>
  <dc:description/>
  <cp:lastModifiedBy>Carron Farnell</cp:lastModifiedBy>
  <cp:revision/>
  <dcterms:created xsi:type="dcterms:W3CDTF">2016-05-09T13:38:52Z</dcterms:created>
  <dcterms:modified xsi:type="dcterms:W3CDTF">2025-02-05T12:46:27Z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2024-12-02T16:46:28Z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e97afc94-7ec0-4e75-9401-aeb363efc48e</vt:lpwstr>
  </property>
  <property fmtid="{D5CDD505-2E9C-101B-9397-08002B2CF9AE}" pid="8" name="MSIP_Label_a17471b1-27ab-4640-9264-e69a67407ca3_ContentBits">
    <vt:lpwstr>2</vt:lpwstr>
  </property>
  <property fmtid="{D5CDD505-2E9C-101B-9397-08002B2CF9AE}" pid="9" name="ContentTypeId">
    <vt:lpwstr>0x010100718E088D61435D429F53A8D9D38B3C75</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CloudStatistics_StoryID">
    <vt:lpwstr>358d2aca-8665-4568-b143-401b31184651</vt:lpwstr>
  </property>
</Properties>
</file>